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README" sheetId="1" state="visible" r:id="rId3"/>
    <sheet name="Assumptions" sheetId="2" state="visible" r:id="rId4"/>
    <sheet name="1. Top-down funnel" sheetId="3" state="visible" r:id="rId5"/>
    <sheet name="2. Verdal volume" sheetId="4" state="visible" r:id="rId6"/>
    <sheet name="3. Margin stacks" sheetId="5" state="visible" r:id="rId7"/>
    <sheet name="4. Perimeter bridge" sheetId="6" state="visible" r:id="rId8"/>
    <sheet name="5. Sensitivity" sheetId="7" state="visible" r:id="rId9"/>
    <sheet name="6. Published cross-checks" sheetId="8" state="visible" r:id="rId10"/>
    <sheet name="7. Changes from v1"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<sst xmlns="http://schemas.openxmlformats.org/spreadsheetml/2006/main" count="692" uniqueCount="527">
  <si>
    <t xml:space="preserve">Verdal Group — WP1 market model  ·  VERSION 2</t>
  </si>
  <si>
    <t xml:space="preserve">VG-STRAT-2026-07 · EV charging strategic options · v2 rebuilt 27 July 2026 after a three-level quality audit · all figures 2030 unless stated</t>
  </si>
  <si>
    <t xml:space="preserve">Purpose</t>
  </si>
  <si>
    <t xml:space="preserve">Size what is genuinely addressable by Verdal at the SITE-HOST level, and locate the Board's €25bn figure against it.</t>
  </si>
  <si>
    <t xml:space="preserve">What changed in v2</t>
  </si>
  <si>
    <t xml:space="preserve">This model was rebuilt after L1 source verification, an L2 internal audit and an L3 dual external audit (Claude Fable 5 and GPT-5.6 Sol). Tab 7 lists every change and the finding that caused it. Six changes move numbers; the rest move labels, confidence levels and sources.</t>
  </si>
  <si>
    <t xml:space="preserve">The four that move the answer</t>
  </si>
  <si>
    <t xml:space="preserve">(1) The funnel no longer multiplies a share of FINAL CONSUMPTION into a GROSS GENERATION base — the conversion is now an explicit cell. (2) The €0.04/kWh grid adder DOUBLE-COUNTED network charges already inside the Eurostat price and is now an increment of €0.01. (3) Delivered electricity is now a six-country mean on the correct Eurostat series, not a bare €0.19. (4) DC charger capex moves from €200,000 to Interpath's own €180,000.</t>
  </si>
  <si>
    <t xml:space="preserve">How to use this file</t>
  </si>
  <si>
    <t xml:space="preserve">Every input sits on the 'Assumptions' tab. Change a value there and the whole model recalculates. Two deliberate exceptions, both on tab 5: the sensitivity axes (bays 2-8, throughput 40-160 kWh) and the driver range endpoints are written into their own formulas, because they ARE the range being tested and each one is named in the column beside it. Everything else is a reference.</t>
  </si>
  <si>
    <t xml:space="preserve">Colour convention</t>
  </si>
  <si>
    <t xml:space="preserve">BLUE FONT = an input you can edit.  BLACK = a formula.  YELLOW FILL = an assumption we could not source and that materially moves the answer.  RED FILL = a warning you must read before quoting the row.  GREEN FILL = a published cross-check, not our own estimate.</t>
  </si>
  <si>
    <t xml:space="preserve">Confidence labels</t>
  </si>
  <si>
    <t xml:space="preserve">VERIFIED = identified, traceable source, figure matches.  PROBABLE = consistent with several sources, not directly confirmed.  HYPOTHESIS = plausible reasoning without a source, flagged as such.</t>
  </si>
  <si>
    <t xml:space="preserve">The three cells that matter most</t>
  </si>
  <si>
    <t xml:space="preserve">Assumptions!C18 — convertible bays per site. Not supplied. Every euro scales off it.
Assumptions!C40 — the lease fee received today. Not supplied. It decides which structure wins.
Assumptions!C17 — the site eligibility rate, set to 100%. No screen has been applied. 'Addressable' currently means 'the whole estate'.</t>
  </si>
  <si>
    <t xml:space="preserve">What this model does NOT do</t>
  </si>
  <si>
    <t xml:space="preserve">It uses no Verdal internal figure that has not been supplied. Current lease fee, bay counts, car-park capacity, metered site electricity consumption and energy contract terms are data-room requests, shown here as explicit, replaceable assumptions.</t>
  </si>
  <si>
    <t xml:space="preserve">It applies no site-eligibility screen. Car-park size, grid headroom, ownership, planning and operator exclusivity are unscreened. WP3 owns that screen, and Savills' own per-bay benchmarks are quoted only for sites clearing a bar a supermarket car park does not automatically clear.</t>
  </si>
  <si>
    <t xml:space="preserve">It does not include the footfall and basket effect of charging on grocery sales. That is a retail-economics question, sized in WP5, and it may well be larger than the charging margin itself.</t>
  </si>
  <si>
    <t xml:space="preserve">It contains no customer research. Willingness to pay and dwell-time behaviour are interview questions, specified in WP2.</t>
  </si>
  <si>
    <t xml:space="preserve">It is an annual-result model, not an investment case. There is no cash-flow profile, no NPV, no IRR and no rollout timing. WP5 scores entry mode and owns those.</t>
  </si>
  <si>
    <t xml:space="preserve">Tabs</t>
  </si>
  <si>
    <t xml:space="preserve">Assumptions — every input, with unit, confidence and source</t>
  </si>
  <si>
    <t xml:space="preserve">1. Top-down funnel — Europe TWh down to grocery destination charging in the six countries, with the perimeter conversion made visible</t>
  </si>
  <si>
    <t xml:space="preserve">2. Verdal volume — bottom-up from 1,100 sites, an eligibility rate, and the reconciliation against the funnel</t>
  </si>
  <si>
    <t xml:space="preserve">3. Margin stacks — lease / revenue share / operate, plus the operator's retained share and the Savills scenarios</t>
  </si>
  <si>
    <t xml:space="preserve">4. Perimeter bridge — the Board's €25bn and Verdal's number, with all three candidate constructions shown conditionally</t>
  </si>
  <si>
    <t xml:space="preserve">5. Sensitivity — break-even, the two-way grid, six live drivers and the bounded range by structure</t>
  </si>
  <si>
    <t xml:space="preserve">6. Published cross-checks — Fastned, Pod Point and the IEA, against our own assumptions</t>
  </si>
  <si>
    <t xml:space="preserve">7. Changes from v1 — every correction, and the audit finding behind it</t>
  </si>
  <si>
    <t xml:space="preserve">Health warning</t>
  </si>
  <si>
    <t xml:space="preserve">This model is assumption-dense by construction, because the site-host layer of the charging market is barely published. Where the evidence is thin the model says so rather than smoothing it. Read the confidence column before quoting any number from it.</t>
  </si>
  <si>
    <t xml:space="preserve">Assumptions — every input in the model sits here</t>
  </si>
  <si>
    <t xml:space="preserve">Blue font = editable input. Yellow fill = unsourced and material. Change a value and every downstream tab recalculates. v2: confidence levels and sources rewritten after the L1 source-verification pass — six claims in v1 were contradicted by their sources.</t>
  </si>
  <si>
    <t xml:space="preserve">#</t>
  </si>
  <si>
    <t xml:space="preserve">Input</t>
  </si>
  <si>
    <t xml:space="preserve">Value</t>
  </si>
  <si>
    <t xml:space="preserve">Unit / basis</t>
  </si>
  <si>
    <t xml:space="preserve">Confidence</t>
  </si>
  <si>
    <t xml:space="preserve">Source, and what the audit found</t>
  </si>
  <si>
    <t xml:space="preserve">A. European demand base — the top-down funnel</t>
  </si>
  <si>
    <t xml:space="preserve">European electricity, EU-27 gross generation, latest actual</t>
  </si>
  <si>
    <t xml:space="preserve">TWh, 2025</t>
  </si>
  <si>
    <t xml:space="preserve">Verified</t>
  </si>
  <si>
    <t xml:space="preserve">Ember European Electricity Review 2026: renewables 1,331 TWh = 47.7% of the EU mix -&gt; implied total 2,790 TWh. Ember's methodology defines annual data as GROSS GENERATION (demand = generation + net imports). Labelled as generation here; v1 labelled it demand. https://ember-energy.org/app/uploads/2026/01/EMBER-Report-European-Electricity-Review-2026.pdf</t>
  </si>
  <si>
    <t xml:space="preserve">Gross generation -&gt; final electricity consumption factor</t>
  </si>
  <si>
    <t xml:space="preserve">x</t>
  </si>
  <si>
    <t xml:space="preserve">Probable</t>
  </si>
  <si>
    <t xml:space="preserve">Final electricity consumption sits c.10-12% below gross generation in the EU (own use plus transmission and distribution losses). NEW IN v2: v1 multiplied an IEA share of FINAL CONSUMPTION straight into a GROSS GENERATION base. This cell makes the conversion visible instead of hiding the mismatch.</t>
  </si>
  <si>
    <t xml:space="preserve">Electricity demand growth to 2030</t>
  </si>
  <si>
    <t xml:space="preserve">% a year</t>
  </si>
  <si>
    <t xml:space="preserve">Hypothesis</t>
  </si>
  <si>
    <t xml:space="preserve">Placeholder growth rate, not sourced. Moves the funnel far less than the perimeter question does.</t>
  </si>
  <si>
    <t xml:space="preserve">EV share of European electricity consumption, 2030</t>
  </si>
  <si>
    <t xml:space="preserve">% of final consumption</t>
  </si>
  <si>
    <t xml:space="preserve">IEA Global EV Outlook 2025, Stated Policies: EVs rise from 1.0% of European FINAL ELECTRICITY CONSUMPTION in 2024 to 4.3% in 2030. FIGURE VERIFIED. PERIMETER NOT: the IEA's 'Europe' is the WEO aggregate WEOEUR - EU-27 plus the UK, Norway, Switzerland, Iceland, TURKIYE, UKRAINE, Israel, Belarus and the western Balkans (43 entries). It is applied here to an EU-27 base as the best available proxy, and the residual mismatch is why the step is graded Probable, not Verified. RESOLUTION: one IEA account download (Global EV Data Explorer, parameter = Electricity demand, region = Europe) gives the absolute TWh and removes this step entirely. On the action list. NOTE: Global EV Outlook 2026 (20 May 2026) has since superseded GEO 2025 and re-based its scenarios on Current Policies; it publishes no 2030 European share, so GEO 2025 remains the only 2030 source. Refresh before the final on 30 September.</t>
  </si>
  <si>
    <t xml:space="preserve">Public charging share of EV kWh</t>
  </si>
  <si>
    <t xml:space="preserve">% of EV kWh</t>
  </si>
  <si>
    <t xml:space="preserve">IEA states the majority of charging stays at home and at work and that this is expected to continue; the commonly cited European split is c.70/30. NO AUTHORITATIVE EUROPEAN kWh SPLIT IS PUBLISHED - the IEA publishes the charging split in charger UNITS and capacity, never in kWh. This is the first soft step, and v1's slide 8 wrongly credited it to the IEA.</t>
  </si>
  <si>
    <t xml:space="preserve">Destination share of public charging kWh</t>
  </si>
  <si>
    <t xml:space="preserve">% of public kWh</t>
  </si>
  <si>
    <t xml:space="preserve">37% of European public charge POINTS are semi-public / destination (Statzon, from EAFO data, end-2023, EU-27 - NOT published by EAFO directly, so cite the aggregator and the date). Adjusted DOWN to 22% of kWh because destination points are overwhelmingly AC and turn far less energy than highway DC. The adjustment is ours and is not published.</t>
  </si>
  <si>
    <t xml:space="preserve">Grocery share of destination charging kWh</t>
  </si>
  <si>
    <t xml:space="preserve">% of destination kWh</t>
  </si>
  <si>
    <t xml:space="preserve">No European source publishes a grocery split of destination charging. Judgement against the other destination categories: shopping centres, workplace, hotels, leisure, public car parks.</t>
  </si>
  <si>
    <t xml:space="preserve">Six countries' share of European EV parc</t>
  </si>
  <si>
    <t xml:space="preserve">% of European EVs</t>
  </si>
  <si>
    <t xml:space="preserve">DE, FR, NL, BE, ES, IT. TWO FLAGS. (a) BASIS MIXED: KBA's 2,034,260 (1 Jan 2026) is BEV ONLY; ANFAC/Ideauto's 746,510 (26 Feb 2026, DGT data) is BEV+PHEV - and v1 used 0.69m for Spain, which understates the published figure by 7.6%. (b) PROXY: a parc share is used as a proxy for a kWh share; countries do not consume charging energy in proportion to their vehicle counts. FIX: take all six from EAFO's single-basis fleet file before WP3 scores.</t>
  </si>
  <si>
    <t xml:space="preserve">DC share of European public charging kWh</t>
  </si>
  <si>
    <t xml:space="preserve">NEW IN v2. v1 valued all European public charging at an unweighted (DC+AC)/2 = EUR0.525/kWh. Public charging is DC-dominated by ENERGY even though it is AC-dominated by points. 70% is our judgement and it is not published.</t>
  </si>
  <si>
    <t xml:space="preserve">B. Verdal footprint and volume — the bottom-up build</t>
  </si>
  <si>
    <t xml:space="preserve">Supermarkets in the six countries</t>
  </si>
  <si>
    <t xml:space="preserve">sites</t>
  </si>
  <si>
    <t xml:space="preserve">Verdal RfP, 15 July 2026, section 1.</t>
  </si>
  <si>
    <t xml:space="preserve">Site eligibility rate</t>
  </si>
  <si>
    <t xml:space="preserve">% of sites</t>
  </si>
  <si>
    <t xml:space="preserve">HYPOTHESIS</t>
  </si>
  <si>
    <t xml:space="preserve">NEW IN v2, AND IT IS SET DELIBERATELY TO 100% SO THE GAP IS VISIBLE. No screen has been applied for car-park size, grid headroom, ownership or lease restrictions, planning, or operator exclusivity. Savills quotes its own per-bay rents only for sites with proximity to major road networks, 15,000+ vehicles passing daily and nearby amenities - a bar a supermarket car park does not automatically clear. WP3 owns the screen. Until it runs, 'addressable' means 'the whole estate', and that is an assumption, not a finding.</t>
  </si>
  <si>
    <t xml:space="preserve">Convertible charging bays per eligible site</t>
  </si>
  <si>
    <t xml:space="preserve">bays</t>
  </si>
  <si>
    <t xml:space="preserve">NOT SUPPLIED BY THE CLIENT. Data-room request no.1. Every euro in this model scales off this cell.</t>
  </si>
  <si>
    <t xml:space="preserve">DC share of converted bays</t>
  </si>
  <si>
    <t xml:space="preserve">% of bays</t>
  </si>
  <si>
    <t xml:space="preserve">Placeholder mix. WP2 decides it on dwell time. Split here so the two economics are visible separately.</t>
  </si>
  <si>
    <t xml:space="preserve">Bays served per DC charger</t>
  </si>
  <si>
    <t xml:space="preserve">Dual-outlet DC units. Now live in the tab 5 sensitivity (v1 admitted this driver was worth c.EUR20m and was NOT in the sensitivity).</t>
  </si>
  <si>
    <t xml:space="preserve">DC throughput per bay</t>
  </si>
  <si>
    <t xml:space="preserve">kWh/bay/day, 2030</t>
  </si>
  <si>
    <t xml:space="preserve">No European source publishes kWh/charger/day at grocery or destination sites. THREE PUBLISHED CROSS-CHECKS NOW SIT ON TAB 6 AND THEY DO NOT FLATTER THIS NUMBER: Fastned's own 2030 supermarket business case (40 sessions/station/day, max EUR252k revenue per station against EUR1,417k for a motorway site); Pod Point's Tesco estate (GBP5,738 of revenue per chargepoint a year); and the IEA's European public-network time-based utilisation of 10% in 2025 rising to 15% by 2035.</t>
  </si>
  <si>
    <t xml:space="preserve">AC throughput per bay</t>
  </si>
  <si>
    <t xml:space="preserve">Modelled. European average AC session c.20 kWh (EAFO-derived); implies a little over one session per bay per day.</t>
  </si>
  <si>
    <t xml:space="preserve">C. Prices and delivered costs, per kWh</t>
  </si>
  <si>
    <t xml:space="preserve">DC retail price, blended six countries</t>
  </si>
  <si>
    <t xml:space="preserve">EUR/kWh</t>
  </si>
  <si>
    <t xml:space="preserve">Eleport European price report, data Feb-2026: DE 0.59, FR 0.52, NL 0.69, BE 0.69, ES 0.47 (v1 said c.0.50), IT 0.71. Simple mean 0.61; 0.60 used. DOWNGRADED FROM VERIFIED IN v2 FOR THREE REASONS: Spain was misquoted; these are MEDIANS OF CPO LIST PRICES, not volume-weighted realised prices, so they are not comparable to Fastned's realised EUR0.53/kWh; and the co-source 'EVwire' cited in v1 could not be located. Eleport's own European median across country medians is EUR0.54.</t>
  </si>
  <si>
    <t xml:space="preserve">AC retail price, blended six countries</t>
  </si>
  <si>
    <t xml:space="preserve">DOWNGRADED FROM PROBABLE IN v2. v1 cited an ADAC survey of Feb-2026 (27 operators, 8,500 test charges, public AC 0.39-0.59 EUR/kWh in Germany). THE ADAC PRIMARY COULD NOT BE REACHED: the reachable ADAC page is dated 08.12.2025 and contains none of those parameters; the study description survives only in consumer blogs. Do not cite ADAC for this range until the primary is in hand. Germany-only in any case, extrapolated to six countries.</t>
  </si>
  <si>
    <t xml:space="preserve">Grocery-operator DC price, observed</t>
  </si>
  <si>
    <t xml:space="preserve">Eleport, Feb-2026: ALDI, Lidl and Kaufland all price at EUR0.44 in Germany, together running c.3,300 DC connectors; Lidl France at EUR0.39 both ad-hoc and app. NUANCE v1 MISSED: for Lidl and Kaufland EUR0.44 is the APP price and ad-hoc is EUR0.55; only ALDI prices EUR0.44 ad-hoc. The 0.42 blend is ours. Used in the footfall scenario on tab 5, not in the base case.</t>
  </si>
  <si>
    <t xml:space="preserve">Delivered electricity cost, six-country mean</t>
  </si>
  <si>
    <t xml:space="preserve">GRADED PROBABLE, NOT VERIFIED, AND THE REASON IS THE BAND, NOT THE FIGURE: the figure below is verified at source; which consumption band applies to a Verdal site is an assumption until Verdal supplies its metered consumption. Eurostat nrg_pc_205, non-household band IC (500-1,999 MWh/yr), series X_VAT = EXCLUDING VAT AND OTHER RECOVERABLE TAXES AND LEVIES, H2-2025. Six-country values: DE 0.2264, IT 0.2203, NL 0.1991, BE 0.1866, FR 0.1534, ES 0.1324 -&gt; simple mean 0.186. THREE v1 DEFECTS CORRECTED: v1's Italy figure of 0.2336 was H1-2025, not H2-2025 (the H2 figure is 0.2203); v1 labelled the series 'incl. taxes', which is wrong - the all-taxes EU figure is 0.2206, 20% higher; and v1 used a bare 0.19 with no stated derivation. BAND CHOICE IS AN ASSUMPTION: band ID (2,000-19,999 MWh/yr) gives a six-country mean of 0.161 and applies if total site load, store included, exceeds 2,000 MWh a year. Verdal's metered site consumption is a data-room request.</t>
  </si>
  <si>
    <t xml:space="preserve">Grid capacity increment ABOVE the band average</t>
  </si>
  <si>
    <t xml:space="preserve">v1 ADDED EUR0.04/kWh OF 'GRID CAPACITY AND DEMAND CHARGES' ON TOP OF THE EUROSTAT PRICE. THAT DOUBLE-COUNTS. Eurostat's own metadata (nrg_pc_204_sims) defines the retail price as including a NETWORK COST component - transmission and distribution tariffs, losses, network costs, system services and metering - and states the prices are real invoiced prices. The legitimate residual is only the INCREMENT a high-peak charging site pays above the average band-IC consumer, because Eurostat's network component is a band average and several national tariffs charge capacity separately per kW. EUR0.01 is a placeholder for that increment. It is not evidenced. Three real grid-connection and tariff quotes would settle it; range 0.00-0.04 is tested on tab 5.</t>
  </si>
  <si>
    <t xml:space="preserve">Payment, software and network costs</t>
  </si>
  <si>
    <t xml:space="preserve">% of gross revenue</t>
  </si>
  <si>
    <t xml:space="preserve">No EV-charging-specific disclosure found. Covers card processing, roaming and back-office.</t>
  </si>
  <si>
    <t xml:space="preserve">D. Fixed costs of operating</t>
  </si>
  <si>
    <t xml:space="preserve">DC charger opex, per charger a year</t>
  </si>
  <si>
    <t xml:space="preserve">EUR/charger/yr</t>
  </si>
  <si>
    <t xml:space="preserve">Interpath, 'European EV Charging', May 2026, chart footnote: 'Assumes c. EUR180,000 capex per charger, c. EUR0.25/kWh gross margin and c. EUR18,000-20,000 annual cost base'. These are INTERPATH'S OWN MODELLING ASSUMPTIONS IN A CHART FOOTNOTE, not operator disclosures. https://interpath.com/wp-content/uploads/2026/05/European-EV-Charging.pdf</t>
  </si>
  <si>
    <t xml:space="preserve">AC point opex, per point a year</t>
  </si>
  <si>
    <t xml:space="preserve">EUR/point/yr</t>
  </si>
  <si>
    <t xml:space="preserve">No published figure. AC units carry far lower maintenance and no active cooling.</t>
  </si>
  <si>
    <t xml:space="preserve">DC charger capex, installed</t>
  </si>
  <si>
    <t xml:space="preserve">EUR/charger</t>
  </si>
  <si>
    <t xml:space="preserve">CHANGED FROM EUR200,000 IN v1. Interpath's body text gives EUR150,000-250,000 all-in per high-power charger; its own modelling footnote assumes c.EUR180,000. v1 took EUR200,000, above Interpath's own central case, at a cost of c.EUR1.8m a year in amortisation across 1,100 chargers. THIS IS A HIGHWAY-GRADE SPEC AND IT DECIDES THE OPERATE CASE - the destination-grade alternative is section F and it is now live in the tab 5 sensitivity. WP2 chooses the spec; WP1 must not pre-empt it.</t>
  </si>
  <si>
    <t xml:space="preserve">AC point capex, installed</t>
  </si>
  <si>
    <t xml:space="preserve">EUR/point</t>
  </si>
  <si>
    <t xml:space="preserve">Modelled. v1 anchored this on 'Spain MOVES III: up to EUR15,000/port for DC fast'. THAT ANCHOR HAS BEEN REMOVED: MOVES III (RD 266/2021 as amended by RD 821/2023) grants a PERCENTAGE of eligible cost - 20-35% base for publicly accessible points at or above 50 kW - with an EUR800,000 per-file cap; no EUR15,000 per-port ceiling appears in the national text. Per-port caps exist in some autonomous-community calls, none of which is named here.</t>
  </si>
  <si>
    <t xml:space="preserve">Grid connection, per site</t>
  </si>
  <si>
    <t xml:space="preserve">EUR/site</t>
  </si>
  <si>
    <t xml:space="preserve">v1 cited a published range of EUR10,000-500,000 per DC site. THAT RANGE TRACES ONLY TO AN UNATTRIBUTED BLOG. The best citable published figure is Savills: GBP250,000-1,000,000 to obtain 800 kVA-2 MVA for an 8-24 bay hub, explicitly site-dependent. At four bays a site the requirement is far smaller, but EUR60,000 sits well below the only citable figure and the direction of the error is against us: at EUR150,000 a site the operate result worsens by c.EUR6.6m.</t>
  </si>
  <si>
    <t xml:space="preserve">DC asset life</t>
  </si>
  <si>
    <t xml:space="preserve">years</t>
  </si>
  <si>
    <t xml:space="preserve">Interpath, May 2026: 12-year life and a 10% target IRR in its European charging model.</t>
  </si>
  <si>
    <t xml:space="preserve">AC asset life</t>
  </si>
  <si>
    <t xml:space="preserve">Modelled.</t>
  </si>
  <si>
    <t xml:space="preserve">Grid connection life</t>
  </si>
  <si>
    <t xml:space="preserve">E. Site-host commercial terms</t>
  </si>
  <si>
    <t xml:space="preserve">Lease fee received today, per bay</t>
  </si>
  <si>
    <t xml:space="preserve">EUR/bay/yr</t>
  </si>
  <si>
    <t xml:space="preserve">NOT SUPPLIED BY THE CLIENT. Data-room request no.2. The published benchmark beside it is now Verified - see rows 32-34 - and at that benchmark this placeholder is 2.3-3.9x too low and the recommendation reverses.</t>
  </si>
  <si>
    <t xml:space="preserve">Savills benchmark, CPO-funded, low</t>
  </si>
  <si>
    <t xml:space="preserve">GBP/bay/yr</t>
  </si>
  <si>
    <t xml:space="preserve">Savills Research, 'Electric Vehicle Charging: Maximising Opportunity', UK Commercial, Autumn 2024, heading '1. CPO funded': 'Rents between GBP3,000-5,000 per bay per annum / Or / 5% revenue share / Or / 20% profit share / 30 year lease / Annual CPI rent review, collar and capped at 1-4%.' UPGRADED FROM PROBABLE/CONTESTED IN v1 - read at primary on 27 July 2026. https://pdf.euro.savills.co.uk/uk/commercial---other/savills-ev-charging---aug24.pdf QUALIFIER: applies where the CPO carries the cost of obtaining power capacity, and is quoted for assets attracting rapid-hub interest - proximity to major roads, 15,000+ vehicles a day, amenities. UK only, sterling, per bay, Autumn 2024.</t>
  </si>
  <si>
    <t xml:space="preserve">Savills benchmark, CPO-funded, high</t>
  </si>
  <si>
    <t xml:space="preserve">Same source and same three qualifiers as row 32.</t>
  </si>
  <si>
    <t xml:space="preserve">Savills benchmark, LANDLORD-funded, floor</t>
  </si>
  <si>
    <t xml:space="preserve">SAME SAVILLS DOCUMENT, HEADING '2. Landlord funded': 'Rents upwards of GBP10,000 per bay per annum, 15-30-year leases.' THIS IS THE STRUCTURE VERDAL'S BOARD IS ACTUALLY CONTEMPLATING AND v1 DID NOT CARRY IT AT ALL. Same three site qualifiers apply.</t>
  </si>
  <si>
    <t xml:space="preserve">GBP -&gt; EUR reference rate</t>
  </si>
  <si>
    <t xml:space="preserve">EUR per GBP</t>
  </si>
  <si>
    <t xml:space="preserve">ECB euro foreign exchange reference rate, 27 July 2026: EUR 1 = GBP 0.85524, i.e. GBP 1 = EUR 1.1693. Twelve-month monthly averages have held a 1.9% band (EUR 1 = GBP 0.8637-0.8800), so spot is representative. v1 CARRIED NO RATE AT ALL: it presented GBP13.2-22.0m as 'EUR13-22m', an implied rate of 1.00. Note for the page: the choice of rate moves the euro figure by at most 3.6%, while the benchmark itself spans 67% before any Verdal-specific adjustment.</t>
  </si>
  <si>
    <t xml:space="preserve">Revenue share, if renegotiated</t>
  </si>
  <si>
    <t xml:space="preserve">% of gross charging revenue</t>
  </si>
  <si>
    <t xml:space="preserve">An industry description puts host revenue shares at 10-25% of gross, but that band traces only to vendor glossaries which themselves say percentages vary by negotiation. NO NAMED OPERATOR DISCLOSES ITS ACTUAL PERCENTAGE: Powerdot, Electra, Atlante and Zunder all announce retail partnerships - E.Leclerc, Carrefour, Intermarche, Cora, Biedronka - and none publishes terms. Verdal's own two agreements are the best available benchmark, and they are a data-room request.</t>
  </si>
  <si>
    <t xml:space="preserve">Revenue share, low end of the cited band</t>
  </si>
  <si>
    <t xml:space="preserve">% of gross</t>
  </si>
  <si>
    <t xml:space="preserve">See row 36. Tested on tab 5 section D.</t>
  </si>
  <si>
    <t xml:space="preserve">Revenue share, high end of the cited band</t>
  </si>
  <si>
    <t xml:space="preserve">F. Alternative charger spec — destination-grade (WP2 owns this choice)</t>
  </si>
  <si>
    <t xml:space="preserve">Destination-grade DC charger capex, installed</t>
  </si>
  <si>
    <t xml:space="preserve">2 x 75 kW destination unit, c.EUR80,000 installed. Modelled. NEW AS A LIVE CELL IN v2: v1 carried these two figures only as prose inside a source note, and drew a Board exhibit from them that no cell computed.</t>
  </si>
  <si>
    <t xml:space="preserve">Destination-grade DC charger opex, per charger a year</t>
  </si>
  <si>
    <t xml:space="preserve">Modelled, consistent with a unit that carries no active liquid cooling. See row 39.</t>
  </si>
  <si>
    <t xml:space="preserve">G. The figure under test</t>
  </si>
  <si>
    <t xml:space="preserve">Board paper: European EV charging market, 2030</t>
  </si>
  <si>
    <t xml:space="preserve">EUR m</t>
  </si>
  <si>
    <t xml:space="preserve">Client input — under test</t>
  </si>
  <si>
    <t xml:space="preserve">Verdal Board paper, June 2026, quoted in the RfP. An input to be tested, not a fact to reproduce. Its own citation is data-room request no.1 on the interview and data-room list.</t>
  </si>
  <si>
    <t xml:space="preserve">⚠ THE LEASE FEE DECIDES THE ANSWER, AND THE BENCHMARK BESIDE IT IS NOW VERIFIED. €1,500 a bay a year (C40) is OUR placeholder. Savills, read at primary on 27 July 2026, gives £3,000-5,000 a bay a year where the CPO funds the power capacity — €15.4-25.7m across 4,400 bays at the ECB rate of 27 July — and 'upwards of £10,000 a bay a year' where the LANDLORD funds it, which is c.€51.5m and is the structure this Board is contemplating. At either, today's lease already beats a 15% revenue share and beats self-operation by a wide margin, and the recommendation reverses. Do not present an uplift without the two actual agreements, or without saying that this is what it turns on. THE BRAKE: Savills quotes these terms for sites with proximity to major roads, 15,000+ vehicles a day and amenities. What share of 1,100 supermarket car parks clears that bar is unknown and unmodelled — see C17.</t>
  </si>
  <si>
    <t xml:space="preserve">⚠ TWO EQUIPMENT ASSUMPTIONS, NOT DEMAND, DECIDE THE OPERATE CASE. Charger spec (C33/C31 against the destination-grade alternative in section F) and bays per charger (C20) between them move the result by more than the entire throughput range tested on tab 5. Neither is a Verdal figure and neither is settled — WP2 settles them. Both are now LIVE in the tab 5 sensitivity; in v1 they were prose in a source note and a Board exhibit was drawn from them anyway. Read the operate column as conditional on a high-power spec, never as a verdict on charging at Verdal's car parks.</t>
  </si>
  <si>
    <t xml:space="preserve">⚠ THE FUNNEL IS A BOUNDING EXERCISE AND THREE OF ITS STEPS ARE OUR JUDGEMENT. C10, C11 and C12 are not published anywhere in Europe as kWh splits — only point counts are published, and points are a poor proxy for energy. C9's perimeter is wider than the base it is applied to, and C7 is the conversion that makes that visible rather than hiding it. The bottom-up build on tab 2 is the primary estimate.</t>
  </si>
  <si>
    <t xml:space="preserve">⚠ 'ADDRESSABLE' CURRENTLY MEANS 'THE WHOLE ESTATE'. C17 is set to 100% deliberately, so the gap is visible. No screen has been applied for car-park size, grid headroom, ownership or lease restrictions, planning, or operator exclusivity. WP3 owns the screen. Until it runs, every euro in this model is an upper bound on the estate as well as on the economics.</t>
  </si>
  <si>
    <t xml:space="preserve">Top-down funnel — from European electricity to grocery destination charging in the six countries</t>
  </si>
  <si>
    <t xml:space="preserve">Every step states its basis and its confidence. v2 adds step 2, the conversion from gross generation to final electricity consumption: v1 multiplied an IEA share of FINAL CONSUMPTION straight into a GROSS GENERATION base, on a geography wider than the base. Three of the seven steps remain our judgement, not a published split — they are marked, and they are where the answer is soft.</t>
  </si>
  <si>
    <t xml:space="preserve">Step</t>
  </si>
  <si>
    <t xml:space="preserve">Operation</t>
  </si>
  <si>
    <t xml:space="preserve">Result</t>
  </si>
  <si>
    <t xml:space="preserve">Unit</t>
  </si>
  <si>
    <t xml:space="preserve">Confidence of the step</t>
  </si>
  <si>
    <t xml:space="preserve">Basis</t>
  </si>
  <si>
    <t xml:space="preserve">European electricity, EU-27 gross generation, 2030</t>
  </si>
  <si>
    <t xml:space="preserve">start</t>
  </si>
  <si>
    <t xml:space="preserve">TWh</t>
  </si>
  <si>
    <t xml:space="preserve">2025 actual 2,790 TWh (Ember European Electricity Review 2026, derived from renewables 1,331 TWh = 47.7%) grown at 1.5% a year. Ember's own methodology defines this as GROSS GENERATION, not demand. The growth rate is a placeholder and barely moves the answer.</t>
  </si>
  <si>
    <t xml:space="preserve">× gross generation → final electricity consumption</t>
  </si>
  <si>
    <t xml:space="preserve">× 89%</t>
  </si>
  <si>
    <t xml:space="preserve">NEW IN v2. Final electricity consumption sits c.10-12% below gross generation (own use plus transmission and distribution losses). Without this step the next multiplication is dimensionally wrong.</t>
  </si>
  <si>
    <t xml:space="preserve">× EV share of final electricity consumption, 2030</t>
  </si>
  <si>
    <t xml:space="preserve">× 4.3%</t>
  </si>
  <si>
    <t xml:space="preserve">IEA Global EV Outlook 2025, Stated Policies: EVs reach 4.3% of European FINAL ELECTRICITY CONSUMPTION in 2030, up from 1.0% in 2024. The figure is verified. The perimeter is not: the IEA's 'Europe' is the WEO aggregate — EU-27 plus the UK, Norway, Switzerland, Türkiye, Ukraine, Israel and the western Balkans — applied here to an EU-27 base as the best available proxy. Graded Probable for that reason. One IEA data download removes the step entirely.</t>
  </si>
  <si>
    <t xml:space="preserve">× public charging share of EV kWh</t>
  </si>
  <si>
    <t xml:space="preserve">× 30%</t>
  </si>
  <si>
    <t xml:space="preserve">IEA: the majority of charging stays at home and at work, and is expected to continue to. c.70/30 is the commonly cited European split. NO AUTHORITATIVE PUBLISHED kWh SPLIT EXISTS — the IEA publishes the split in charger units, never in kWh. First soft step, and v1's deck wrongly credited it to the IEA.</t>
  </si>
  <si>
    <t xml:space="preserve">× destination share of public kWh</t>
  </si>
  <si>
    <t xml:space="preserve">× 22%</t>
  </si>
  <si>
    <t xml:space="preserve">37% of European public charge POINTS are semi-public / destination (Statzon, from EAFO data, end-2023, EU-27 — not published by EAFO itself). We cut it to 22% of kWh because destination points are overwhelmingly AC and turn far less energy. No published kWh split by location type exists anywhere in Europe. Second soft step.</t>
  </si>
  <si>
    <t xml:space="preserve">× grocery share of destination kWh</t>
  </si>
  <si>
    <t xml:space="preserve">No European source publishes a grocery split of destination charging. Judgement against shopping centres, workplace, hotels, leisure and public car parks. Third soft step.</t>
  </si>
  <si>
    <t xml:space="preserve">× six countries' share of European EVs</t>
  </si>
  <si>
    <t xml:space="preserve">× 57%</t>
  </si>
  <si>
    <t xml:space="preserve">DE, FR, NL, BE, ES, IT. Two flags: a PARC share is used as a proxy for a kWh share, and the six national registries mix BEV-only with BEV+PHEV bases (Spain's published figure is 746,510, not the 0.69m used in v1). Reconcile against EAFO's single-basis fleet file before WP3 scores.</t>
  </si>
  <si>
    <t xml:space="preserve">Value of that pool, at each perimeter level</t>
  </si>
  <si>
    <t xml:space="preserve">Level</t>
  </si>
  <si>
    <t xml:space="preserve">Whose revenue it is</t>
  </si>
  <si>
    <t xml:space="preserve">Blended European public-charging price, energy-weighted</t>
  </si>
  <si>
    <t xml:space="preserve">—</t>
  </si>
  <si>
    <t xml:space="preserve">€/kWh</t>
  </si>
  <si>
    <t xml:space="preserve">NEW IN v2. v1 valued all European public charging at an unweighted (DC+AC)/2 = €0.525/kWh. Public charging is DC-dominated by ENERGY. Weighted here at a 70/30 DC/AC energy mix, which is our judgement and is not published.</t>
  </si>
  <si>
    <t xml:space="preserve">2. Energy throughput value — ALL European public charging</t>
  </si>
  <si>
    <t xml:space="preserve">Mostly the energy supplier</t>
  </si>
  <si>
    <t xml:space="preserve">€m a year</t>
  </si>
  <si>
    <t xml:space="preserve">European public charging TWh × the energy-weighted blended retail price. This is what customers pay at the plug across all of European public charging — not what any one party earns.</t>
  </si>
  <si>
    <t xml:space="preserve">Verdal's own realised blended price, DC and AC</t>
  </si>
  <si>
    <t xml:space="preserve">Computed live from Verdal's own modelled energy mix on tab 2 (76% DC by energy, from a 50/50 bay split), not assumed. ⚠ DISCLOSE THIS: step 5 above cuts destination to 22% of public kWh on the argument that destination points are overwhelmingly AC. Level 3 is then priced on a DC-leaning mix, because that is the grocery site WE model — a 50/50 bay split is a deliberate assumption, not an observation of the segment. On an AC-weighted destination mix nearer €0.48/kWh the pool falls to about €620m and Verdal's like-for-like ratio moves from 1/103rd to about 1/87th. The two are consistent only because they describe different things; a reader is entitled to see that stated rather than inferred.</t>
  </si>
  <si>
    <t xml:space="preserve">3. Charge-point operator revenue — grocery destination, six countries</t>
  </si>
  <si>
    <t xml:space="preserve">The operator</t>
  </si>
  <si>
    <t xml:space="preserve">The gross billing of every operator in the segment Verdal sits in. Verdal is not the operator today, and would not be all of it if it were.</t>
  </si>
  <si>
    <t xml:space="preserve">4. Site-host margin available to Verdal</t>
  </si>
  <si>
    <t xml:space="preserve">Verdal</t>
  </si>
  <si>
    <t xml:space="preserve">The best of the three commercial structures on tab 3, at base-case assumptions and at OUR assumed lease fee. This is Verdal's level and it is the only one of the four that is Verdal's money.</t>
  </si>
  <si>
    <t xml:space="preserve">Note on the funnel. Four of its seven steps are ours or are perimeter-adjusted: the generation-to-consumption conversion, the public share of kWh, the destination share of public kWh and the grocery share of destination. Only point counts are published in Europe, and points are a poor proxy for energy because an AC destination point turns a fraction of what a highway DC point turns. The funnel is therefore a bounding exercise, not a measurement, and the bottom-up build on tab 2 is the primary estimate. Sources: IEA Global EV Outlook 2025; Ember European Electricity Review 2026; Statzon from EAFO data; national charge-point registries.</t>
  </si>
  <si>
    <t xml:space="preserve">Sanity check worth noticing. Our own funnel puts the 2030 energy-throughput value of ALL European public charging at roughly €19bn a year — the same order of magnitude as the Board's €25bn, built independently and from published sources. That is one of the three constructions a €25bn European charging figure could measure: what customers pay at the plug across the whole continent, of which the great majority passes straight through to the energy supplier. It is three perimeter levels away from what a grocery site host keeps. We do not assert which the Board used — tab 4 shows all three candidates and the Board paper's own citation settles it in one line.</t>
  </si>
  <si>
    <t xml:space="preserve">Verdal volume — bottom-up from 1,100 sites, on two replaceable assumptions</t>
  </si>
  <si>
    <t xml:space="preserve">Neither the bay count nor the eligibility rate is a Verdal figure. The bay count has not been supplied. The eligibility rate is set to 100% deliberately, because no screen has been applied — so 'addressable' currently means 'the whole estate'. Both are data-room and WP3 items, and every euro below scales from them.</t>
  </si>
  <si>
    <t xml:space="preserve">Line</t>
  </si>
  <si>
    <t xml:space="preserve">Formula / basis</t>
  </si>
  <si>
    <t xml:space="preserve">Verdal RfP, 15 July 2026 — VERIFIED. The only Verdal-supplied figure in this model.</t>
  </si>
  <si>
    <t xml:space="preserve">NOT SCREENED — HYPOTHESIS, set to 100% so the gap is visible. Car-park size, grid headroom, ownership, planning and operator exclusivity are all unscreened. WP3 owns it.</t>
  </si>
  <si>
    <t xml:space="preserve">Eligible sites</t>
  </si>
  <si>
    <t xml:space="preserve">Sites × eligibility rate</t>
  </si>
  <si>
    <t xml:space="preserve">NOT SUPPLIED — HYPOTHESIS. Change Assumptions!C18 and the whole model moves.</t>
  </si>
  <si>
    <t xml:space="preserve">Total convertible bays</t>
  </si>
  <si>
    <t xml:space="preserve">Eligible sites × bays per site</t>
  </si>
  <si>
    <t xml:space="preserve">DC bays</t>
  </si>
  <si>
    <t xml:space="preserve">At the placeholder 50/50 mix. WP2 decides the real mix on dwell time.</t>
  </si>
  <si>
    <t xml:space="preserve">AC bays</t>
  </si>
  <si>
    <t xml:space="preserve">Balance</t>
  </si>
  <si>
    <t xml:space="preserve">DC chargers required</t>
  </si>
  <si>
    <t xml:space="preserve">chargers</t>
  </si>
  <si>
    <t xml:space="preserve">Two bays per dual-outlet DC unit. This is the denominator the operate case lives or dies on, and it is now live in the tab 5 sensitivity.</t>
  </si>
  <si>
    <t xml:space="preserve">DC energy delivered</t>
  </si>
  <si>
    <t xml:space="preserve">GWh/yr</t>
  </si>
  <si>
    <t xml:space="preserve">DC bays × kWh per bay per day × 365</t>
  </si>
  <si>
    <t xml:space="preserve">AC energy delivered</t>
  </si>
  <si>
    <t xml:space="preserve">AC bays × kWh per bay per day × 365</t>
  </si>
  <si>
    <t xml:space="preserve">Total energy delivered, 2030</t>
  </si>
  <si>
    <t xml:space="preserve">The volume every euro on tab 3 is earned on</t>
  </si>
  <si>
    <t xml:space="preserve">Reconciliation — Verdal share of the six-country grocery destination pool</t>
  </si>
  <si>
    <t xml:space="preserve">% of pool</t>
  </si>
  <si>
    <t xml:space="preserve">Bottom-up volume against the top-down funnel. A figure far above ~10% would say the funnel is too tight or the throughput assumption too generous; far below ~2% would say the reverse. BOTH ROUTES SHARE THE SAME UNSOURCED THROUGHPUT AND BAY ASSUMPTIONS, so their agreement is partly circular — agreeing they are the same order of magnitude is the most this reconciliation can prove.</t>
  </si>
  <si>
    <t xml:space="preserve">Three commercial structures, one volume — what Verdal actually earns per kWh</t>
  </si>
  <si>
    <t xml:space="preserve">Same energy, same prices. The difference is who carries the cost. All figures € million a year at 2030 volumes unless stated. v2 adds two rows v1 lacked and a Savills block: the operator's retained share under a revenue share (which v1's deck mislabelled 'cost of delivery'), the true cost of delivery under self-operation, and the lease valued at the now-Verified published benchmark.</t>
  </si>
  <si>
    <t xml:space="preserve">Lease the bays (today)</t>
  </si>
  <si>
    <t xml:space="preserve">Revenue share</t>
  </si>
  <si>
    <t xml:space="preserve">Operate</t>
  </si>
  <si>
    <t xml:space="preserve">VOLUME AND GROSS BILLING</t>
  </si>
  <si>
    <t xml:space="preserve">Energy delivered (GWh/yr)</t>
  </si>
  <si>
    <t xml:space="preserve">Identical across the three structures — tab 2</t>
  </si>
  <si>
    <t xml:space="preserve">Gross charging revenue at the plug (€m)</t>
  </si>
  <si>
    <t xml:space="preserve">DC GWh × €0.60 + AC GWh × €0.45. Country medians of CPO list prices, Eleport Feb-2026 — not volume-weighted realised prices.</t>
  </si>
  <si>
    <t xml:space="preserve">WHAT VERDAL RECEIVES</t>
  </si>
  <si>
    <t xml:space="preserve">Lease fee</t>
  </si>
  <si>
    <t xml:space="preserve">-</t>
  </si>
  <si>
    <t xml:space="preserve">Bays × €1,500 a bay a year. THE FEE IS NOT KNOWN — Verdal has not supplied its two agreements. Data-room request no.2. See rows 30-32 for the published benchmark.</t>
  </si>
  <si>
    <t xml:space="preserve">15% of gross. The 10-25% band traces only to vendor glossaries; no named operator discloses its actual percentage.</t>
  </si>
  <si>
    <t xml:space="preserve">Gross charging revenue</t>
  </si>
  <si>
    <t xml:space="preserve">Verdal bills the customer directly</t>
  </si>
  <si>
    <t xml:space="preserve">WHAT VERDAL PAYS</t>
  </si>
  <si>
    <t xml:space="preserve">Delivered electricity, all-in</t>
  </si>
  <si>
    <t xml:space="preserve">Eurostat nrg_pc_205 band IC, series X_VAT (excluding VAT and other recoverable taxes), H2-2025, six-country simple mean €0.186/kWh. THIS ALREADY INCLUDES NETWORK AND DISTRIBUTION CHARGES — see the next line.</t>
  </si>
  <si>
    <t xml:space="preserve">Grid capacity increment above the band average</t>
  </si>
  <si>
    <t xml:space="preserve">€0.01/kWh. v1 added €0.04/kWh here and DOUBLE-COUNTED: Eurostat's price already contains a network-cost component. Only the increment a high-peak site pays above the band average is legitimate, and it is not evidenced. Range 0.00-0.04 tested on tab 5.</t>
  </si>
  <si>
    <t xml:space="preserve">Payment, software and roaming</t>
  </si>
  <si>
    <t xml:space="preserve">5% of gross. No EV-charging-specific disclosure found.</t>
  </si>
  <si>
    <t xml:space="preserve">Charger operations and maintenance</t>
  </si>
  <si>
    <t xml:space="preserve">DC €19,000 per charger a year (Interpath's own modelling assumption, May 2026); AC €1,500 per point, modelled.</t>
  </si>
  <si>
    <t xml:space="preserve">Charger capital, amortised</t>
  </si>
  <si>
    <t xml:space="preserve">DC €180,000 per charger over 12 years — Interpath's own central assumption; v1 used €200,000, above it. AC €6,000 over 10 years.</t>
  </si>
  <si>
    <t xml:space="preserve">Grid connection, amortised</t>
  </si>
  <si>
    <t xml:space="preserve">€60,000 an eligible site over 15 years. The only citable published figure is Savills at £250k-1m for an 8-24 bay hub, so the direction of error is against us.</t>
  </si>
  <si>
    <t xml:space="preserve">VERDAL'S ANNUAL RESULT (€m)</t>
  </si>
  <si>
    <t xml:space="preserve">The line the Board is deciding on</t>
  </si>
  <si>
    <t xml:space="preserve">Per kWh delivered (€/kWh)</t>
  </si>
  <si>
    <t xml:space="preserve">The result divided by the same energy. This is the comparison the Board paper does not make.</t>
  </si>
  <si>
    <t xml:space="preserve">WHAT THE DECK MUST NOT CONFUSE</t>
  </si>
  <si>
    <t xml:space="preserve">Operator's retained share under a 15% revenue share (€m)</t>
  </si>
  <si>
    <t xml:space="preserve">€40.4m. v1's slide 6 labelled this step 'cost of delivery'. IT IS NOT. It is the 85% the operator keeps. Verdal incurs no cost of delivery under a revenue share.</t>
  </si>
  <si>
    <t xml:space="preserve">Total cost of delivering the same energy, under self-operation (€m)</t>
  </si>
  <si>
    <t xml:space="preserve">€65m. THIS is the cost of delivery, and it is on the operate column only. The two figures differ by c.€25m and v1's deck showed both without reconciling them.</t>
  </si>
  <si>
    <t xml:space="preserve">Best of the three (€m)</t>
  </si>
  <si>
    <t xml:space="preserve">Carried to the perimeter bridge on tab 4</t>
  </si>
  <si>
    <t xml:space="preserve">Uplift of the best structure over today's ASSUMED lease (€m)</t>
  </si>
  <si>
    <t xml:space="preserve">THE ACTUAL PRIZE at our placeholder fee. Not the gap between a lease fee and gross charging revenue, which is the comparison the Board paper implicitly makes.</t>
  </si>
  <si>
    <t xml:space="preserve">THE SAME LEASE, AT THE PUBLISHED BENCHMARK (Savills, UK, Autumn 2024 — Verified)</t>
  </si>
  <si>
    <t xml:space="preserve">Lease at the Savills CPO-funded low, £3,000/bay (€m)</t>
  </si>
  <si>
    <t xml:space="preserve">Converted at the ECB euro reference rate of 27 July 2026, £1 = €1.1693.</t>
  </si>
  <si>
    <t xml:space="preserve">Lease at the Savills CPO-funded high, £5,000/bay (€m)</t>
  </si>
  <si>
    <t xml:space="preserve">Same source and rate.</t>
  </si>
  <si>
    <t xml:space="preserve">Lease at the Savills LANDLORD-funded floor, £10,000/bay (€m)</t>
  </si>
  <si>
    <t xml:space="preserve">The structure this Board is contemplating. v1 did not carry this benchmark at all.</t>
  </si>
  <si>
    <t xml:space="preserve">Uplift of the best NON-lease structure over the Savills CPO-funded low (€m)</t>
  </si>
  <si>
    <t xml:space="preserve">NEGATIVE. At the low end of the only published benchmark, today's lease already beats both alternatives, and the answer to the Board's question may be no.</t>
  </si>
  <si>
    <t xml:space="preserve">Read this tab with the lease fee in mind. €1,500 a bay a year is OUR assumption, not Verdal's figure, and the two agreements have not been supplied. The uplift on row 30 is therefore only as good as that cell — and rows 33-36 show that at the published benchmark it turns negative. What does NOT depend on the lease fee: self-operation is deeply negative at base-case throughput on a high-power spec, and a revenue share is the only structure that improves on a lease without taking on operating risk.</t>
  </si>
  <si>
    <t xml:space="preserve">The Board's €25bn and Verdal's number, on the same page</t>
  </si>
  <si>
    <t xml:space="preserve">Four levels. Each is a real magnitude for a real thing. Only the fourth is Verdal's money. v2 fixes the column header — v1 headed this column '€m a year' while row 5 insisted in capitals that the €25bn is cumulative — and adds the like-for-like ratio inside the segment, which a Board member will compute anyway.</t>
  </si>
  <si>
    <t xml:space="preserve">Perimeter level</t>
  </si>
  <si>
    <t xml:space="preserve">What it measures</t>
  </si>
  <si>
    <t xml:space="preserve">Unit and flow</t>
  </si>
  <si>
    <t xml:space="preserve">Ratio to European plug revenue</t>
  </si>
  <si>
    <t xml:space="preserve">What it is not</t>
  </si>
  <si>
    <t xml:space="preserve">1. Infrastructure capex — Europe</t>
  </si>
  <si>
    <t xml:space="preserve">Hardware, installation and grid connection across every site type in Europe, including highway corridors and fleet depots. ⚠ A CUMULATIVE BUILD-OUT MAGNITUDE, shown for reference only — it is not an annual flow and it must not be divided into one.</t>
  </si>
  <si>
    <t xml:space="preserve">€m, CUMULATIVE to 2030</t>
  </si>
  <si>
    <t xml:space="preserve">Not revenue. Equipment makers' and installers' money. One of three constructions consistent with a €25bn European 2030 figure.</t>
  </si>
  <si>
    <t xml:space="preserve">2. Energy throughput value — all European public charging</t>
  </si>
  <si>
    <t xml:space="preserve">The full value of electricity delivered through every public charge point in Europe</t>
  </si>
  <si>
    <t xml:space="preserve">Mostly a pass-through to the energy supplier, though the operator keeps the spread. Nobody in the chain keeps this.</t>
  </si>
  <si>
    <t xml:space="preserve">3. Operator revenue — grocery destination, six countries</t>
  </si>
  <si>
    <t xml:space="preserve">What every charge-point operator bills, gross, in the segment Verdal actually sits in</t>
  </si>
  <si>
    <t xml:space="preserve">Not Verdal's, and not Verdal's even under self-operation — this is the whole segment, all operators.</t>
  </si>
  <si>
    <t xml:space="preserve">4. Site-host margin — Verdal</t>
  </si>
  <si>
    <t xml:space="preserve">What Verdal keeps, under the best of the three commercial structures, at OUR assumed lease fee</t>
  </si>
  <si>
    <t xml:space="preserve">This is the number that belongs on the Board's page. ⚠ Under SELF-OPERATION Verdal would occupy levels 3 and 4 at once — it becomes the operator as well as the host. v1's table said Verdal sits at level 4 'under every structure tested', which is wrong.</t>
  </si>
  <si>
    <t xml:space="preserve">Like-for-like: Verdal against its own segment</t>
  </si>
  <si>
    <t xml:space="preserve">Level 4 against level 3 — the same six countries, the same grocery destination segment</t>
  </si>
  <si>
    <t xml:space="preserve">1/103rd. The 1/2,680th comparison against ALL European plug revenue is a valid perimeter illustration and it is also a rhetorical device. Show both, or someone in the room will do this division and ask why only one was on the page.</t>
  </si>
  <si>
    <t xml:space="preserve">The three candidate constructions for €25bn — all shown, none asserted</t>
  </si>
  <si>
    <t xml:space="preserve">Candidate</t>
  </si>
  <si>
    <t xml:space="preserve">Published figure and horizon</t>
  </si>
  <si>
    <t xml:space="preserve">Geography</t>
  </si>
  <si>
    <t xml:space="preserve">Why it is not a site host's margin</t>
  </si>
  <si>
    <t xml:space="preserve">European charging build-out capex</t>
  </si>
  <si>
    <t xml:space="preserve">c. €30bn cumulative for public charging, of an €80bn European total to 2030 (Société Générale, citing published estimates). The ACEA/McKinsey Masterplan puts public-charging infrastructure at €8bn A YEAR — roughly €70-80bn cumulative, more than double SocGen. Two published constructions of the same object differ by over 2×.</t>
  </si>
  <si>
    <t xml:space="preserve">Level 1</t>
  </si>
  <si>
    <t xml:space="preserve">Europe</t>
  </si>
  <si>
    <t xml:space="preserve">Equipment and installation, not revenue, and it includes highway corridors and fleet depots that a grocery car park does not address. v1's deck called these two sources 'of the same order'; they are not, and the disagreement is itself part of the finding.</t>
  </si>
  <si>
    <t xml:space="preserve">Paid market-research forecasts</t>
  </si>
  <si>
    <t xml:space="preserve">US$15-34bn across THREE DIFFERENT HORIZON YEARS. Grand View: US$15.1bn for 2030 — no longer reproducible, the source has been rebased to US$23.4bn by 2033. Market Data Forecast: US$25.35bn by 2034 — but that is its EV CHARGER report; its CHARGING STATION report says US$671bn for the same year and continent. Meticulous: US$34bn by 2032.</t>
  </si>
  <si>
    <t xml:space="preserve">Level 1-3, undisclosed</t>
  </si>
  <si>
    <t xml:space="preserve">Europe, definitions vary</t>
  </si>
  <si>
    <t xml:space="preserve">Methodologies undisclosed, scopes include residential, and one house publishes two figures 26× apart for the same year. Treat as low-confidence. The internal contradiction is the strongest single piece of evidence for why the figure had to be tested.</t>
  </si>
  <si>
    <t xml:space="preserve">McKinsey, European mobility finance</t>
  </si>
  <si>
    <t xml:space="preserve">'European mobility finance: A €25 billion growth opportunity', 11 October 2023. Verified at source: 'about €25 billion of NEW ANNUAL REVENUE for mobility-finance providers by 2030 in the countries we analyzed'. Five countries: France, Germany, Italy, Spain and the UK.</t>
  </si>
  <si>
    <t xml:space="preserve">Not on this chain</t>
  </si>
  <si>
    <t xml:space="preserve">5 countries incl. UK, excl. NL and BE</t>
  </si>
  <si>
    <t xml:space="preserve">Matches the figure, the currency and the horizon exactly and measures something else — loans and leases, a financial-services revenue pool. The report's own words: EV charging infrastructure 'will remain a relatively niche segment, contributing about 1 percent of total 2030 revenue' — c. €250m, and that is charging FINANCE, not charging service revenue.</t>
  </si>
  <si>
    <t xml:space="preserve">Our own independent construction</t>
  </si>
  <si>
    <t xml:space="preserve">c. €19bn a year of energy paid at the plug across all European public charging, built bottom-up on tab 1 from IEA and Ember data.</t>
  </si>
  <si>
    <t xml:space="preserve">Level 2</t>
  </si>
  <si>
    <t xml:space="preserve">EU-27 base, IEA-Europe share</t>
  </si>
  <si>
    <t xml:space="preserve">Not a market anyone earns; the great majority passes to the energy supplier. Shown because it lands in the same order of magnitude as the Board's figure from an entirely independent route.</t>
  </si>
  <si>
    <t xml:space="preserve">The Board is not wrong to have quoted €25bn.</t>
  </si>
  <si>
    <t xml:space="preserve">It is a real published magnitude for a real thing. The finding is that it measures a different thing from what Verdal would earn — a perimeter difference, not an error. NO SOURCE CLEANLY PRODUCES 'European EV charging market, €25bn, 2030'; we searched for it directly and could not falsify that. We do not assert which construction the Board used. The Board paper's own citation settles it in one line, and it is data-room request no.1.</t>
  </si>
  <si>
    <t xml:space="preserve">Compare like with like. Verdal's €7.1m a year is about 1/2,680th of the €19.2bn a year paid at the plug across ALL European public charging, and about 1/103rd of the €733m billed by every operator in its own segment — the six countries, grocery destination charging, all operators. Both ratios are true and only the first was on v1's page. The Board's €25bn, on the capex construction, is a cumulative build-out magnitude and is NOT divided into an annual margin anywhere in this model.</t>
  </si>
  <si>
    <t xml:space="preserve">Six drivers move the answer. Two of them are equipment choices WP2 has not made.</t>
  </si>
  <si>
    <t xml:space="preserve">Everything below recalculates from the Assumptions tab. v2 makes every driver LIVE: v1's deck drew a six-bar exhibit of which three bars existed in no cell, and its own source note admitted one of them 'belongs in the sensitivity and it is not in it'. The break-even is now solved against the WHOLE estate, not the DC estate alone.</t>
  </si>
  <si>
    <t xml:space="preserve">A. Break-even — what DC throughput self-operation actually requires</t>
  </si>
  <si>
    <t xml:space="preserve">Contribution per DC kWh, after payment costs</t>
  </si>
  <si>
    <t xml:space="preserve">Retail price less payment costs, less the delivered electricity cost, less the grid capacity increment.</t>
  </si>
  <si>
    <t xml:space="preserve">Fixed cost of the DC estate, a year</t>
  </si>
  <si>
    <t xml:space="preserve">€m/yr</t>
  </si>
  <si>
    <t xml:space="preserve">Charger opex, charger capital amortised, and the whole grid-connection charge carried by DC.</t>
  </si>
  <si>
    <t xml:space="preserve">Net contribution of the AC estate, a year</t>
  </si>
  <si>
    <t xml:space="preserve">NEW IN v2. v1 solved the break-even on the DC estate alone and ignored this line, so its 159.8 figure did not tie to its own sensitivity grid.</t>
  </si>
  <si>
    <t xml:space="preserve">DC energy needed to break even, WHOLE ESTATE</t>
  </si>
  <si>
    <t xml:space="preserve">DC fixed cost less the AC estate's net contribution, divided by contribution per DC kWh.</t>
  </si>
  <si>
    <t xml:space="preserve">Break-even DC throughput per bay, WHOLE ESTATE</t>
  </si>
  <si>
    <t xml:space="preserve">kWh/bay/day</t>
  </si>
  <si>
    <t xml:space="preserve">The number a Verdal car park would have to turn, every day, for self-operation to clear its own costs.</t>
  </si>
  <si>
    <t xml:space="preserve">For reference: DC-only break-even energy</t>
  </si>
  <si>
    <t xml:space="preserve">The figure v1 reported. Correct for the DC estate in isolation; not the number the grid in section B tests.</t>
  </si>
  <si>
    <t xml:space="preserve">For reference: DC-only break-even per bay</t>
  </si>
  <si>
    <t xml:space="preserve">See above.</t>
  </si>
  <si>
    <t xml:space="preserve">Base-case DC throughput per bay</t>
  </si>
  <si>
    <t xml:space="preserve">Our modelled assumption — HYPOTHESIS.</t>
  </si>
  <si>
    <t xml:space="preserve">Gap to whole-estate break-even</t>
  </si>
  <si>
    <t xml:space="preserve">%</t>
  </si>
  <si>
    <t xml:space="preserve">How much more energy each bay must turn than the base case assumes.</t>
  </si>
  <si>
    <t xml:space="preserve">Three published comparators for the throughput assumption — see tab 6 for the full sourcing</t>
  </si>
  <si>
    <t xml:space="preserve">Fastned, FY2025</t>
  </si>
  <si>
    <t xml:space="preserve">kWh/station/day</t>
  </si>
  <si>
    <t xml:space="preserve">183.0 GWh across 406 stations. A highway ultra-fast operator, the hardest-working comparator in Europe. Across a typical multi-bay station this is roughly 150-200 kWh per bay per day. VERIFIED (Annual Report 2025).</t>
  </si>
  <si>
    <t xml:space="preserve">Fastned's own 2030 SUPERMARKET business case</t>
  </si>
  <si>
    <t xml:space="preserve">€k revenue/station/yr</t>
  </si>
  <si>
    <t xml:space="preserve">Against €1,417k for a motorway service area. 40 sessions a station a day, 30-minute dwell, 69 kW max session speed. A listed competitor's published, sourced view that a grocery car park is worth roughly one fifth of a motorway site. VERIFIED (Investor presentation, April 2026).</t>
  </si>
  <si>
    <t xml:space="preserve">Pod Point's Tesco estate, FY2024</t>
  </si>
  <si>
    <t xml:space="preserve">£ revenue/chargepoint/yr</t>
  </si>
  <si>
    <t xml:space="preserve">£7.672m across 1,337 chargepoints at 598 sites, and part of it is advertising, not electricity. VERIFIED (FY2024 preliminary results RNS).</t>
  </si>
  <si>
    <t xml:space="preserve">IEA, European public network utilisation</t>
  </si>
  <si>
    <t xml:space="preserve">10% → 15%</t>
  </si>
  <si>
    <t xml:space="preserve">time-based, 2025 → 2035</t>
  </si>
  <si>
    <t xml:space="preserve">Global EV Outlook 2026, Current Policies. Fastned's own time-based utilisation is 14.5%. VERIFIED.</t>
  </si>
  <si>
    <t xml:space="preserve">B. Operate result (€m a year) — bays per eligible site against DC throughput</t>
  </si>
  <si>
    <t xml:space="preserve">Read: at four bays a site and 80 kWh a bay a day, self-operation loses money. The table shows what it takes to change that. Every cell recalculates from the Assumptions tab and all of them assume the HIGH-POWER spec.</t>
  </si>
  <si>
    <t xml:space="preserve">Bays per eligible site  ↓   /   DC kWh per bay per day  →</t>
  </si>
  <si>
    <t xml:space="preserve">4  — base case</t>
  </si>
  <si>
    <t xml:space="preserve">C. The six drivers, all live. The deck's tornado carries FOUR of them — the exhibit zone refuses six (6.24x1.40in available, six variables need 1.89in of height), so site eligibility and delivered electricity are carried in that slide's panel prose instead. Read the two outer columns as the ENDS OF THE RANGE, not as downside and upside: on the operate case more bays and more sites deepen the loss.</t>
  </si>
  <si>
    <t xml:space="preserve">Driver</t>
  </si>
  <si>
    <t xml:space="preserve">Base case</t>
  </si>
  <si>
    <t xml:space="preserve">At the low end of the range</t>
  </si>
  <si>
    <t xml:space="preserve">At the high end of the range</t>
  </si>
  <si>
    <t xml:space="preserve">Range tested</t>
  </si>
  <si>
    <t xml:space="preserve">Why it moves the answer</t>
  </si>
  <si>
    <t xml:space="preserve">40 to 160 kWh/bay/day</t>
  </si>
  <si>
    <t xml:space="preserve">Decides whether self-operation clears its fixed costs at all. Not published for any European grocery site — an interview and pilot question, not a desk-research one. The three comparators in section A all sit against it.</t>
  </si>
  <si>
    <t xml:space="preserve">Convertible bays per eligible site</t>
  </si>
  <si>
    <t xml:space="preserve">2 to 8 bays</t>
  </si>
  <si>
    <t xml:space="preserve">Scales every euro linearly, in all three structures. Verdal holds this figure; it is data-room request no.1.</t>
  </si>
  <si>
    <t xml:space="preserve">50% to 100% of sites</t>
  </si>
  <si>
    <t xml:space="preserve">NEW IN v2. No screen has been applied. Savills quotes its per-bay rents only for sites with major-road proximity, 15,000+ vehicles a day and amenities. If only half the estate clears that bar, every figure in this model halves.</t>
  </si>
  <si>
    <t xml:space="preserve">Charger spec</t>
  </si>
  <si>
    <t xml:space="preserve">200 kW high-power → 2×75 kW destination-grade</t>
  </si>
  <si>
    <t xml:space="preserve">THE SINGLE LARGEST LEVER, AND IT IS AN EQUIPMENT CHOICE, NOT A DEMAND FINDING. Every fixed cost is per charger a year. WP2 chooses the spec. In v1 this bar was drawn on a Board slide from a figure that existed only as prose in a source note.</t>
  </si>
  <si>
    <t xml:space="preserve">2 → 4 outlets per unit</t>
  </si>
  <si>
    <t xml:space="preserve">Halves the charger count and therefore halves every per-charger fixed cost. Also drawn on v1's slide with no cell behind it — its own source note said so.</t>
  </si>
  <si>
    <t xml:space="preserve">Delivered electricity cost</t>
  </si>
  <si>
    <t xml:space="preserve">€0.161 (Eurostat band ID) to €0.226 (band IC + v1's full €0.04 adder)</t>
  </si>
  <si>
    <t xml:space="preserve">The low end is band ID, which applies if total site load exceeds 2,000 MWh a year. The high end reproduces v1's treatment, which double-counted network charges already inside the Eurostat price. The truth is between them and Verdal's metered consumption settles it.</t>
  </si>
  <si>
    <t xml:space="preserve">D. The bounded range by structure — methodology Step 5, absent from v1</t>
  </si>
  <si>
    <t xml:space="preserve">v1 reported a point estimate. The mandate asks for a range with its drivers. Each row states what moves it.</t>
  </si>
  <si>
    <t xml:space="preserve">Structure</t>
  </si>
  <si>
    <t xml:space="preserve">Low</t>
  </si>
  <si>
    <t xml:space="preserve">Base</t>
  </si>
  <si>
    <t xml:space="preserve">High</t>
  </si>
  <si>
    <t xml:space="preserve">What moves it, low to high</t>
  </si>
  <si>
    <t xml:space="preserve">Confidence of the range</t>
  </si>
  <si>
    <t xml:space="preserve">Low = our assumed €1,500 a bay. Base = the Savills CPO-funded low of £3,000. High = the Savills landlord-funded floor of £10,000, which is the structure this Board is contemplating. THE BASE IS NOT OUR PLACEHOLDER — the published benchmark is 2.3× above it and it is now Verified.</t>
  </si>
  <si>
    <t xml:space="preserve">Benchmark Verified, UK-only, and quoted for sites clearing a bar this estate has not been screened against.</t>
  </si>
  <si>
    <t xml:space="preserve">Renegotiated revenue share</t>
  </si>
  <si>
    <t xml:space="preserve">10% to 25% of gross, the band an industry description gives. No named operator discloses its actual percentage.</t>
  </si>
  <si>
    <t xml:space="preserve">Hypothesis. Verdal's own two agreements are the only real benchmark and they are a data-room request.</t>
  </si>
  <si>
    <t xml:space="preserve">Operate the chargers</t>
  </si>
  <si>
    <t xml:space="preserve">Low = 40 kWh a bay a day on the high-power spec. Base = 80 kWh on the high-power spec. High = the destination-grade spec at four outlets a unit, at UNCHANGED throughput. The spread is an equipment decision, not a demand one.</t>
  </si>
  <si>
    <t xml:space="preserve">Hypothesis throughout. WP2 owns the spec and cannot be pre-empted.</t>
  </si>
  <si>
    <t xml:space="preserve">Best structure, at the base of each range</t>
  </si>
  <si>
    <t xml:space="preserve">Read across, not down. At our assumed lease fee a revenue share wins by c.€0.5m. At the published benchmark the lease wins outright by c.€8m at the CPO-funded low and by far more at the landlord-funded floor — and the answer to the Board's question may be no.</t>
  </si>
  <si>
    <t xml:space="preserve">The counterargument this model deliberately does not price. Grocery chains that already operate charging price it below charge-point-operator levels — Lidl, Kaufland and ALDI at €0.44/kWh in Germany (an app price for two of the three; ad-hoc is €0.55), Lidl at €0.39/kWh in France, against a six-country simple mean of €0.60 and an Eleport-published European median of €0.54. They are not trying to earn the charging margin; they are buying footfall and basket. If that is the real logic, the charging P&amp;L above is the wrong test, and the right one is the incremental basket per charging visit — which no European retailer discloses and which Verdal could measure in a pilot. Carried into WP5 as the fourth option alongside build, buy and partner.</t>
  </si>
  <si>
    <t xml:space="preserve">What the public record says, against what this model assumes</t>
  </si>
  <si>
    <t xml:space="preserve">Four primary sources, none of them ours. Two of them were surfaced by the source-verification pass and were not used in v1 at all. Every one tests an assumption on the Assumptions tab, and none of them flatters it.</t>
  </si>
  <si>
    <t xml:space="preserve">Source and standing</t>
  </si>
  <si>
    <t xml:space="preserve">What it says</t>
  </si>
  <si>
    <t xml:space="preserve">What it tests</t>
  </si>
  <si>
    <t xml:space="preserve">What it implies for this model</t>
  </si>
  <si>
    <t xml:space="preserve">Fastned N.V., Annual Report 2025 — listed-company filing</t>
  </si>
  <si>
    <t xml:space="preserve">183.0 GWh delivered across 406 stations, i.e. c.1,235 kWh per station per day. Gross profit €0.53/kWh, operational EBITDA €43.7m (36%), audited net result −€30.2m. Network time-based utilisation 13.2%. Per-station figures quoted elsewhere as 6.5 chargers, €958k invested, ROIC 17.3%, utilisation 14.5% are the Q1-2026 column, NOT FY2025 — v1 presented them as FY2025.</t>
  </si>
  <si>
    <t xml:space="preserve">Assumptions!C21, DC throughput of 80 kWh a bay a day</t>
  </si>
  <si>
    <t xml:space="preserve">Across a typical multi-bay station Fastned turns roughly 150-200 kWh per bay per day — about twice our assumption. But it is a highway ultra-fast operator, which is the hardest-working comparator in Europe and the wrong archetype for a supermarket. It bounds the top of the range, not the base case.</t>
  </si>
  <si>
    <t xml:space="preserve">Fastned, Investor presentation April 2026, slide 33 — listed-company material</t>
  </si>
  <si>
    <t xml:space="preserve">Fastned's own published 2030 business case for a SUPERMARKET site: 1,000 vehicles of daily passing traffic, 20% capture, 40 sessions per station per day, 30-minute dwell (Fastned sources the dwell to Eurostat shopping-time data), 69 kW maximum session speed, and maximum annual revenue per station of €252k — against €1,417k for a motorway service area.</t>
  </si>
  <si>
    <t xml:space="preserve">Assumptions!C21 and the whole operate case</t>
  </si>
  <si>
    <t xml:space="preserve">A listed competitor's published, sourced view that a grocery car park is worth roughly ONE FIFTH of a motorway site. This is the closest thing in the public domain to a Verdal-archetype benchmark, and it belongs in WP1 rather than only in WP2. NOT USED IN v1.</t>
  </si>
  <si>
    <t xml:space="preserve">Pod Point Group Holdings plc, FY2024 preliminary results — listed-company filing</t>
  </si>
  <si>
    <t xml:space="preserve">The Owned Assets segment, which the accounting policy defines as the Tesco estate including a fee for advertising media screens: revenue £7.672m, operating profit £1.784m, across 598 sites and 1,337 chargepoints (142 of them DC rapid). That is £12,829 of revenue and £2,983 of operating profit per site per year, and £5,738 of revenue per chargepoint. Group adjusted EBITDA −£20.7m, material uncertainty over going concern, sold to EDF for £10.6m against a £352m IPO valuation.</t>
  </si>
  <si>
    <t xml:space="preserve">The whole premise that value is being left on the table</t>
  </si>
  <si>
    <t xml:space="preserve">THE OPERATING PROFIT PER CHARGEPOINT IS BELOW THE BOTTOM OF THE SAVILLS £3,000-5,000 PER-BAY RENT. On the only mature grocery charging estate in the public domain, being the landlord out-earned being the operator — and part of the operator's revenue was advertising, not electricity. This is the strongest sourced answer the engagement has to the Board's own question, and it is a primary filing, not a model output. NOT USED IN v1.</t>
  </si>
  <si>
    <t xml:space="preserve">IEA, Global EV Outlook 2026 — intergovernmental publication</t>
  </si>
  <si>
    <t xml:space="preserve">European public-network time-based utilisation of 10% in 2025 rising to 15% by 2035 under Current Policies. EU public charger stock c.2 million by 2030. Home charging 'is currently the preferred way to charge an electric car for those with the ability to do so… This is expected to remain the case in the coming years.' The IEA publishes the charging split in charger UNITS and capacity, never in kWh.</t>
  </si>
  <si>
    <t xml:space="preserve">Assumptions!C10 (30% public share) and C21</t>
  </si>
  <si>
    <t xml:space="preserve">Two things. First, it confirms that no published European kWh split by location exists, so C10, C11 and C12 remain judgement — as they are labelled. Second, a European public network running at 10-15% time-based utilisation is a hard ceiling on what any destination site turns. Note also that GEO 2026 has superseded GEO 2025, on which C9 rests; refresh before 30 September.</t>
  </si>
  <si>
    <t xml:space="preserve">Savills Research, 'Electric Vehicle Charging: Maximising Opportunity', UK Commercial, Autumn 2024 — property adviser</t>
  </si>
  <si>
    <t xml:space="preserve">'1. CPO funded: Rents between £3,000-5,000 per bay per annum / Or / 5% revenue share / Or / 20% profit share / 30 year lease.' And separately, '2. Landlord funded: Rents upwards of £10,000 per bay per annum, 15-30-year leases.' The terms are quoted for assets attracting rapid-hub interest: proximity to major road networks, 15,000+ vehicles passing daily, nearby amenities. Grid connection for an 8-24 bay hub: £250,000-1,000,000.</t>
  </si>
  <si>
    <t xml:space="preserve">Assumptions!C40 (the assumed €1,500 lease fee) and C17 (site eligibility)</t>
  </si>
  <si>
    <t xml:space="preserve">THE SINGLE INPUT THAT FLIPS THE RECOMMENDATION, and it is now read at primary. It also supplies the only citable published grid-connection figure, which is far above our €60,000 a site. And its own site qualifiers are the reason C17 exists: this benchmark does not apply to a car park that does not clear the bar.</t>
  </si>
  <si>
    <t xml:space="preserve">What none of these tells us. Not one is a European grocery destination site operated by the retailer at scale with published unit economics — that estate does not exist in the public domain. Sainsbury's does not segment Smart Charge; Schwarz reports 24,024 points in a sustainability disclosure, not a P&amp;L; Mercadona published €21m of investment and no return. The gap is real, it is the reason this model is assumption-dense, and it is why a metered 10-store pilot is worth more than any further desk research.</t>
  </si>
  <si>
    <t xml:space="preserve">Every change from v1, and the audit finding behind it</t>
  </si>
  <si>
    <t xml:space="preserve">Three quality levels ran on the v1 deliverables on 27 July 2026: L1 source verification (47 claims traced to primary), L2 an isolated internal audit that rebuilt the model from its 30 inputs, and L3 a dual external audit by Claude Fable 5 and GPT-5.6 Sol. This tab is the change log. Nothing here was found by the team that built v1.</t>
  </si>
  <si>
    <t xml:space="preserve">What changed</t>
  </si>
  <si>
    <t xml:space="preserve">Where</t>
  </si>
  <si>
    <t xml:space="preserve">Found by</t>
  </si>
  <si>
    <t xml:space="preserve">Does it move a number?</t>
  </si>
  <si>
    <t xml:space="preserve">Perimeter conversion added to the funnel. v1 multiplied the IEA's 4.3% share of FINAL CONSUMPTION into Ember's GROSS GENERATION base, on a geography (IEA-'Europe', which includes Türkiye, Ukraine and Israel) wider than the base. The conversion is now an explicit cell graded Probable, and the residual geography mismatch is stated.</t>
  </si>
  <si>
    <t xml:space="preserve">Assumptions!C7; tab 1 step 2</t>
  </si>
  <si>
    <t xml:space="preserve">L1, GPT-5.6 Sol</t>
  </si>
  <si>
    <t xml:space="preserve">YES — European EV electricity falls c.11%</t>
  </si>
  <si>
    <t xml:space="preserve">Grid capacity adder cut from €0.04 to €0.01/kWh. Eurostat's own metadata defines the non-household price as INCLUDING a network-cost component; adding a full capacity charge on top double-counted it. Only the increment a high-peak site pays above the band average is legitimate, and it is not evidenced.</t>
  </si>
  <si>
    <t xml:space="preserve">Assumptions!C28; tab 3 row 16</t>
  </si>
  <si>
    <t xml:space="preserve">GPT-5.6 Sol</t>
  </si>
  <si>
    <t xml:space="preserve">YES — c.€2.5m a year off the operate cost</t>
  </si>
  <si>
    <t xml:space="preserve">Delivered electricity rebuilt as a six-country mean on the correct series. v1 used a bare €0.19 while citing €0.1837; its Italy figure of €0.2336 was H1-2025, not H2-2025 (the H2 figure is €0.2203); and it labelled the series 'incl. taxes' when €0.1837 is the X_VAT series, EXCLUDING recoverable taxes. The all-taxes figure is 20% higher.</t>
  </si>
  <si>
    <t xml:space="preserve">Assumptions!C27</t>
  </si>
  <si>
    <t xml:space="preserve">L1</t>
  </si>
  <si>
    <t xml:space="preserve">YES — €0.186 six-country mean replaces €0.19</t>
  </si>
  <si>
    <t xml:space="preserve">DC charger capex moved from €200,000 to €180,000. Interpath's body text gives a €150-250k range; its own modelling footnote assumes c.€180,000. v1 sat above Interpath's central case at a cost of c.€1.8m a year.</t>
  </si>
  <si>
    <t xml:space="preserve">Assumptions!C33</t>
  </si>
  <si>
    <t xml:space="preserve">YES — c.€1.8m a year</t>
  </si>
  <si>
    <t xml:space="preserve">Public-charging value now energy-weighted. v1 valued all European public charging at an unweighted (DC+AC)/2 = €0.525/kWh. Public charging is DC-dominated by energy.</t>
  </si>
  <si>
    <t xml:space="preserve">Assumptions!C14; tab 1 row 15</t>
  </si>
  <si>
    <t xml:space="preserve">YES</t>
  </si>
  <si>
    <t xml:space="preserve">Break-even now solved against the WHOLE estate. v1's 159.8 kWh/bay/day was a DC-only solve and did not tie to its own sensitivity grid, which was still −€0.6m at 160.</t>
  </si>
  <si>
    <t xml:space="preserve">Tab 5 rows 8-12</t>
  </si>
  <si>
    <t xml:space="preserve">L2, GPT-5.6 Sol</t>
  </si>
  <si>
    <t xml:space="preserve">Site eligibility rate added as an explicit input, set to 100%. No screen has been applied for car-park size, grid headroom, ownership, planning or operator exclusivity — so 'genuinely addressable', the mandate's own word, has not been established. Savills' own qualifiers make this material.</t>
  </si>
  <si>
    <t xml:space="preserve">Assumptions!C17; tab 2 row 6; tab 5 driver 3</t>
  </si>
  <si>
    <t xml:space="preserve">GPT-5.6 Sol, corroborated by L1</t>
  </si>
  <si>
    <t xml:space="preserve">No, but it bounds every number</t>
  </si>
  <si>
    <t xml:space="preserve">Savills upgraded from Probable/contested to VERIFIED, read at primary, with the FX rate stated. v1 presented £13.2-22.0m as '€13-22m' — an implied rate of 1.00. At the ECB rate of 27 July 2026 it is €15.4-25.7m.</t>
  </si>
  <si>
    <t xml:space="preserve">Assumptions!C41-C44; tab 3 rows 33-36</t>
  </si>
  <si>
    <t xml:space="preserve">YES — the flip condition is 2.3-3.9×, not 2-3×</t>
  </si>
  <si>
    <t xml:space="preserve">The SECOND Savills benchmark added. The same document carries 'landlord funded: rents upwards of £10,000 per bay per annum' — the structure this Board is contemplating, c.€51.5m a year — and v1 did not carry it at all.</t>
  </si>
  <si>
    <t xml:space="preserve">Assumptions!C43; tab 3 row 35</t>
  </si>
  <si>
    <t xml:space="preserve">YES — new upper bound</t>
  </si>
  <si>
    <t xml:space="preserve">Three sensitivity drivers made live. v1's slide 13 drew charger spec, bays per charger and contribution per kWh as bars on a Board exhibit; none existed in a cell, and Assumptions!F17 admitted one of them 'belongs in the sensitivity and it is not in it'.</t>
  </si>
  <si>
    <t xml:space="preserve">Tab 5 section C</t>
  </si>
  <si>
    <t xml:space="preserve">L2, Fable 5, GPT-5.6 Sol</t>
  </si>
  <si>
    <t xml:space="preserve">No — but now auditable</t>
  </si>
  <si>
    <t xml:space="preserve">The operator's retained share separated from the cost of delivery. v1's slide 6 labelled a €40.4m step 'Cost of delivery'. It is the 85% the operator keeps under a revenue share. The actual cost of delivery, on the operate column, is c.€65m.</t>
  </si>
  <si>
    <t xml:space="preserve">Tab 3 rows 26-27</t>
  </si>
  <si>
    <t xml:space="preserve">L2, Fable 5</t>
  </si>
  <si>
    <t xml:space="preserve">No — but it removes a €25m contradiction</t>
  </si>
  <si>
    <t xml:space="preserve">Methodology Step 5 delivered — a bounded range by structure. v1 reported a point estimate on four slides; the mandate asks for a range with its drivers.</t>
  </si>
  <si>
    <t xml:space="preserve">Tab 5 section D</t>
  </si>
  <si>
    <t xml:space="preserve">No — it exposes the existing range</t>
  </si>
  <si>
    <t xml:space="preserve">Perimeter-bridge header corrected and the level-4 row fixed. v1 headed the column '€m a year' while the same row insisted in capitals that the €25bn is cumulative; and it said Verdal sits at level 4 'under every structure tested', which is false under self-operation, where Verdal becomes the operator too.</t>
  </si>
  <si>
    <t xml:space="preserve">Tab 4 rows 4-8</t>
  </si>
  <si>
    <t xml:space="preserve">No</t>
  </si>
  <si>
    <t xml:space="preserve">The like-for-like ratio added. Verdal against ALL European plug revenue is 1/2,680th in v2 (1/2,850th on v1's figures); against its own segment it is 1/103rd. Only the first was on v1's page.</t>
  </si>
  <si>
    <t xml:space="preserve">Tab 4 row 9</t>
  </si>
  <si>
    <t xml:space="preserve">L2</t>
  </si>
  <si>
    <t xml:space="preserve">The ACEA contradiction surfaced rather than smoothed. v1 said the ACEA/McKinsey Masterplan was 'of the same order' as Société Générale's €30bn cumulative. ACEA publishes €8bn A YEAR — more than double on a cumulative basis.</t>
  </si>
  <si>
    <t xml:space="preserve">Tab 4 row 13</t>
  </si>
  <si>
    <t xml:space="preserve">Market-research citations repaired. Grand View's 2030 figure is no longer reproducible (rebased to 2033); Market Data Forecast's US$25.4bn belongs to its CHARGER report, while its CHARGING STATION report says US$671bn for the same year.</t>
  </si>
  <si>
    <t xml:space="preserve">Tab 4 row 14</t>
  </si>
  <si>
    <t xml:space="preserve">McKinsey verified at primary, and strengthened. 11 October 2023, five countries including the UK and excluding NL and BE. The report also says EV charging infrastructure is 'about 1 percent of total 2030 revenue' — c.€250m of charging FINANCE inside the €25bn.</t>
  </si>
  <si>
    <t xml:space="preserve">Tab 4 row 15</t>
  </si>
  <si>
    <t xml:space="preserve">Two confidence labels downgraded, one upgraded, three source notes rewritten. DC retail price Verified→Probable (Spain misquoted, list-price medians not realised prices, co-source 'EVwire' not locatable). AC retail price Probable→Hypothesis (the ADAC primary could not be reached). Savills Probable→Verified.</t>
  </si>
  <si>
    <t xml:space="preserve">Assumptions!E24, E25, E32-E34</t>
  </si>
  <si>
    <t xml:space="preserve">Two unverifiable anchors removed. v1 anchored AC capex on a 'Spain MOVES III €15,000 per port' ceiling that does not appear in the national text, and cited a €10,000-500,000 grid-connection range traceable only to an unattributed blog.</t>
  </si>
  <si>
    <t xml:space="preserve">Assumptions!F34, F35</t>
  </si>
  <si>
    <t xml:space="preserve">Spain's EV parc figure flagged. ANFAC/Ideauto publishes 746,510 electrified vehicles, not the 0.69m v1 used, and the six registries mix BEV-only with BEV+PHEV bases.</t>
  </si>
  <si>
    <t xml:space="preserve">Assumptions!F13</t>
  </si>
  <si>
    <t xml:space="preserve">No — flagged for WP3</t>
  </si>
  <si>
    <t xml:space="preserve">Two primary cross-checks added that v1 never used: Fastned's own supermarket business case and Pod Point's Tesco estate. Neither flatters our throughput assumption, and Pod Point directly tests the Board's premise.</t>
  </si>
  <si>
    <t xml:space="preserve">Tab 6</t>
  </si>
  <si>
    <t xml:space="preserve">No — but they bound the answer</t>
  </si>
  <si>
    <t xml:space="preserve">What the audit did NOT find, and it bounds the fix: no arithmetic error anywhere in v1 — all seven tabs were rebuilt from the 30 inputs and every formula reproduced exactly; no invented Verdal figure; no fabricated source; and the falsification test on the €25bn held at primary. Thirteen Hypothesis labels were checked and all thirteen were correct, several disclosing their own weakness by name. That discipline is carried into v2 unchanged.</t>
  </si>
</sst>
</file>

<file path=xl/styles.xml><?xml version="1.0" encoding="utf-8"?>
<styleSheet xmlns="http://schemas.openxmlformats.org/spreadsheetml/2006/main">
  <numFmts count="7">
    <numFmt numFmtId="164" formatCode="General"/>
    <numFmt numFmtId="165" formatCode="#,##0"/>
    <numFmt numFmtId="166" formatCode="0.0%"/>
    <numFmt numFmtId="167" formatCode="0.000"/>
    <numFmt numFmtId="168" formatCode="#,##0.0"/>
    <numFmt numFmtId="169" formatCode="0.000000"/>
    <numFmt numFmtId="170" formatCode="#,##0.0;\(#,##0.0\)"/>
  </numFmts>
  <fonts count="10">
    <font>
      <sz val="11"/>
      <color theme="1"/>
      <name val="Calibri"/>
      <family val="2"/>
      <charset val="1"/>
    </font>
    <font>
      <sz val="10"/>
      <name val="Arial"/>
      <family val="0"/>
    </font>
    <font>
      <sz val="10"/>
      <name val="Arial"/>
      <family val="0"/>
    </font>
    <font>
      <sz val="10"/>
      <name val="Arial"/>
      <family val="0"/>
    </font>
    <font>
      <b val="true"/>
      <sz val="12"/>
      <name val="Cambria"/>
      <family val="0"/>
      <charset val="1"/>
    </font>
    <font>
      <i val="true"/>
      <sz val="9"/>
      <name val="Cambria"/>
      <family val="0"/>
      <charset val="1"/>
    </font>
    <font>
      <sz val="10"/>
      <name val="Cambria"/>
      <family val="0"/>
      <charset val="1"/>
    </font>
    <font>
      <b val="true"/>
      <sz val="10"/>
      <name val="Cambria"/>
      <family val="0"/>
      <charset val="1"/>
    </font>
    <font>
      <b val="true"/>
      <sz val="10"/>
      <color rgb="FFFFFFFF"/>
      <name val="Cambria"/>
      <family val="0"/>
      <charset val="1"/>
    </font>
    <font>
      <sz val="10"/>
      <color rgb="FF0070C0"/>
      <name val="Cambria"/>
      <family val="0"/>
      <charset val="1"/>
    </font>
  </fonts>
  <fills count="8">
    <fill>
      <patternFill patternType="none"/>
    </fill>
    <fill>
      <patternFill patternType="gray125"/>
    </fill>
    <fill>
      <patternFill patternType="solid">
        <fgColor rgb="FF1F3864"/>
        <bgColor rgb="FF333333"/>
      </patternFill>
    </fill>
    <fill>
      <patternFill patternType="solid">
        <fgColor rgb="FFF2F2F2"/>
        <bgColor rgb="FFE2EFDA"/>
      </patternFill>
    </fill>
    <fill>
      <patternFill patternType="solid">
        <fgColor rgb="FFE2EFDA"/>
        <bgColor rgb="FFDDEBF7"/>
      </patternFill>
    </fill>
    <fill>
      <patternFill patternType="solid">
        <fgColor rgb="FFFFFF00"/>
        <bgColor rgb="FFFFFF00"/>
      </patternFill>
    </fill>
    <fill>
      <patternFill patternType="solid">
        <fgColor rgb="FFFFC7CE"/>
        <bgColor rgb="FFCCCCFF"/>
      </patternFill>
    </fill>
    <fill>
      <patternFill patternType="solid">
        <fgColor rgb="FFDDEBF7"/>
        <bgColor rgb="FFE2EFDA"/>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general" vertical="top" textRotation="0" wrapText="tru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6" fontId="9" fillId="5"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7" fontId="9" fillId="5" borderId="0" xfId="0" applyFont="true" applyBorder="false" applyAlignment="false" applyProtection="false">
      <alignment horizontal="general" vertical="bottom" textRotation="0" wrapText="false" indent="0" shrinkToFit="false"/>
      <protection locked="true" hidden="false"/>
    </xf>
    <xf numFmtId="165" fontId="9" fillId="5" borderId="0" xfId="0" applyFont="true" applyBorder="false" applyAlignment="false" applyProtection="false">
      <alignment horizontal="general" vertical="bottom" textRotation="0" wrapText="false" indent="0" shrinkToFit="false"/>
      <protection locked="true" hidden="false"/>
    </xf>
    <xf numFmtId="164" fontId="7" fillId="6"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8" fontId="6" fillId="0" borderId="0" xfId="0" applyFont="true" applyBorder="false" applyAlignment="false" applyProtection="false">
      <alignment horizontal="general" vertical="bottom" textRotation="0" wrapText="false" indent="0" shrinkToFit="false"/>
      <protection locked="true" hidden="false"/>
    </xf>
    <xf numFmtId="164" fontId="6" fillId="7" borderId="0" xfId="0" applyFont="true" applyBorder="false" applyAlignment="true" applyProtection="false">
      <alignment horizontal="general" vertical="top" textRotation="0" wrapText="true" indent="0" shrinkToFit="false"/>
      <protection locked="true" hidden="false"/>
    </xf>
    <xf numFmtId="164" fontId="6" fillId="7" borderId="0" xfId="0" applyFont="true" applyBorder="false" applyAlignment="false" applyProtection="false">
      <alignment horizontal="general" vertical="bottom" textRotation="0" wrapText="false" indent="0" shrinkToFit="false"/>
      <protection locked="true" hidden="false"/>
    </xf>
    <xf numFmtId="168" fontId="6" fillId="7"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8" fontId="0" fillId="7" borderId="0" xfId="0" applyFont="false" applyBorder="false" applyAlignment="false" applyProtection="false">
      <alignment horizontal="general" vertical="bottom" textRotation="0" wrapText="false" indent="0" shrinkToFit="false"/>
      <protection locked="true" hidden="false"/>
    </xf>
    <xf numFmtId="164" fontId="7" fillId="7" borderId="0" xfId="0" applyFont="true" applyBorder="false" applyAlignment="false" applyProtection="false">
      <alignment horizontal="general" vertical="bottom" textRotation="0" wrapText="false" indent="0" shrinkToFit="false"/>
      <protection locked="true" hidden="false"/>
    </xf>
    <xf numFmtId="164" fontId="0" fillId="7"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6" fillId="5" borderId="0" xfId="0" applyFont="true" applyBorder="false" applyAlignment="true" applyProtection="false">
      <alignment horizontal="general" vertical="top" textRotation="0" wrapText="true" indent="0" shrinkToFit="false"/>
      <protection locked="true" hidden="false"/>
    </xf>
    <xf numFmtId="166" fontId="6" fillId="5" borderId="0" xfId="0" applyFont="true" applyBorder="false" applyAlignment="false" applyProtection="false">
      <alignment horizontal="general" vertical="bottom" textRotation="0" wrapText="false" indent="0" shrinkToFit="false"/>
      <protection locked="true" hidden="false"/>
    </xf>
    <xf numFmtId="164" fontId="6" fillId="5" borderId="0" xfId="0" applyFont="true" applyBorder="false" applyAlignment="false" applyProtection="false">
      <alignment horizontal="general" vertical="bottom" textRotation="0" wrapText="false" indent="0" shrinkToFit="false"/>
      <protection locked="true" hidden="false"/>
    </xf>
    <xf numFmtId="165" fontId="6" fillId="5"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8" fontId="7" fillId="0" borderId="0" xfId="0" applyFont="true" applyBorder="false" applyAlignment="false" applyProtection="false">
      <alignment horizontal="general" vertical="bottom" textRotation="0" wrapText="false" indent="0" shrinkToFit="false"/>
      <protection locked="true" hidden="false"/>
    </xf>
    <xf numFmtId="167" fontId="6" fillId="7" borderId="0" xfId="0" applyFont="true" applyBorder="false" applyAlignment="false" applyProtection="false">
      <alignment horizontal="general" vertical="bottom" textRotation="0" wrapText="false" indent="0" shrinkToFit="false"/>
      <protection locked="true" hidden="false"/>
    </xf>
    <xf numFmtId="164" fontId="7" fillId="6" borderId="0" xfId="0" applyFont="true" applyBorder="false" applyAlignment="true" applyProtection="false">
      <alignment horizontal="general" vertical="top" textRotation="0" wrapText="true" indent="0" shrinkToFit="false"/>
      <protection locked="true" hidden="false"/>
    </xf>
    <xf numFmtId="168" fontId="6" fillId="6" borderId="0" xfId="0" applyFont="true" applyBorder="false" applyAlignment="false" applyProtection="false">
      <alignment horizontal="general" vertical="bottom" textRotation="0" wrapText="false" indent="0" shrinkToFit="false"/>
      <protection locked="true" hidden="false"/>
    </xf>
    <xf numFmtId="164" fontId="6" fillId="6" borderId="0" xfId="0" applyFont="true" applyBorder="false" applyAlignment="true" applyProtection="false">
      <alignment horizontal="general" vertical="top" textRotation="0" wrapText="true" indent="0" shrinkToFit="false"/>
      <protection locked="true" hidden="false"/>
    </xf>
    <xf numFmtId="164" fontId="7" fillId="7" borderId="0" xfId="0" applyFont="true" applyBorder="false" applyAlignment="true" applyProtection="false">
      <alignment horizontal="general" vertical="top" textRotation="0" wrapText="true" indent="0" shrinkToFit="false"/>
      <protection locked="true" hidden="false"/>
    </xf>
    <xf numFmtId="168" fontId="7" fillId="7" borderId="0" xfId="0" applyFont="true" applyBorder="false" applyAlignment="false" applyProtection="false">
      <alignment horizontal="general" vertical="bottom" textRotation="0" wrapText="false" indent="0" shrinkToFit="false"/>
      <protection locked="true" hidden="false"/>
    </xf>
    <xf numFmtId="168" fontId="7" fillId="6" borderId="0" xfId="0" applyFont="true" applyBorder="false" applyAlignment="false" applyProtection="false">
      <alignment horizontal="general" vertical="bottom" textRotation="0" wrapText="false" indent="0" shrinkToFit="false"/>
      <protection locked="true" hidden="false"/>
    </xf>
    <xf numFmtId="169" fontId="6" fillId="0" borderId="0" xfId="0" applyFont="true" applyBorder="false" applyAlignment="false" applyProtection="false">
      <alignment horizontal="general" vertical="bottom" textRotation="0" wrapText="false" indent="0" shrinkToFit="false"/>
      <protection locked="true" hidden="false"/>
    </xf>
    <xf numFmtId="169" fontId="6" fillId="7"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4" fontId="6" fillId="4" borderId="0" xfId="0" applyFont="true" applyBorder="false" applyAlignment="true" applyProtection="false">
      <alignment horizontal="general" vertical="top" textRotation="0" wrapText="true" indent="0" shrinkToFit="false"/>
      <protection locked="true" hidden="false"/>
    </xf>
    <xf numFmtId="165" fontId="6" fillId="4"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70" fontId="6" fillId="0" borderId="0" xfId="0" applyFont="true" applyBorder="false" applyAlignment="false" applyProtection="false">
      <alignment horizontal="general" vertical="bottom" textRotation="0" wrapText="false" indent="0" shrinkToFit="false"/>
      <protection locked="true" hidden="false"/>
    </xf>
    <xf numFmtId="170" fontId="6" fillId="7"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DDEBF7"/>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2" min="2" style="0" width="130"/>
  </cols>
  <sheetData>
    <row r="1" customFormat="false" ht="1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row>
    <row r="4" customFormat="false" ht="15" hidden="false" customHeight="false" outlineLevel="0" collapsed="false">
      <c r="A4" s="4" t="s">
        <v>2</v>
      </c>
      <c r="B4" s="5" t="s">
        <v>3</v>
      </c>
    </row>
    <row r="5" customFormat="false" ht="15" hidden="false" customHeight="false" outlineLevel="0" collapsed="false">
      <c r="A5" s="3"/>
    </row>
    <row r="6" customFormat="false" ht="23.85" hidden="false" customHeight="false" outlineLevel="0" collapsed="false">
      <c r="A6" s="4" t="s">
        <v>4</v>
      </c>
      <c r="B6" s="5" t="s">
        <v>5</v>
      </c>
    </row>
    <row r="7" customFormat="false" ht="35.05" hidden="false" customHeight="false" outlineLevel="0" collapsed="false">
      <c r="A7" s="4" t="s">
        <v>6</v>
      </c>
      <c r="B7" s="5" t="s">
        <v>7</v>
      </c>
    </row>
    <row r="8" customFormat="false" ht="15" hidden="false" customHeight="false" outlineLevel="0" collapsed="false">
      <c r="A8" s="3"/>
    </row>
    <row r="9" customFormat="false" ht="35.05" hidden="false" customHeight="false" outlineLevel="0" collapsed="false">
      <c r="A9" s="4" t="s">
        <v>8</v>
      </c>
      <c r="B9" s="5" t="s">
        <v>9</v>
      </c>
    </row>
    <row r="10" customFormat="false" ht="23.85" hidden="false" customHeight="false" outlineLevel="0" collapsed="false">
      <c r="A10" s="4" t="s">
        <v>10</v>
      </c>
      <c r="B10" s="5" t="s">
        <v>11</v>
      </c>
    </row>
    <row r="11" customFormat="false" ht="23.85" hidden="false" customHeight="false" outlineLevel="0" collapsed="false">
      <c r="A11" s="4" t="s">
        <v>12</v>
      </c>
      <c r="B11" s="5" t="s">
        <v>13</v>
      </c>
    </row>
    <row r="12" customFormat="false" ht="15" hidden="false" customHeight="false" outlineLevel="0" collapsed="false">
      <c r="A12" s="3"/>
    </row>
    <row r="13" customFormat="false" ht="48" hidden="false" customHeight="true" outlineLevel="0" collapsed="false">
      <c r="A13" s="4" t="s">
        <v>14</v>
      </c>
      <c r="B13" s="5" t="s">
        <v>15</v>
      </c>
    </row>
    <row r="14" customFormat="false" ht="15" hidden="false" customHeight="false" outlineLevel="0" collapsed="false">
      <c r="A14" s="3"/>
    </row>
    <row r="15" customFormat="false" ht="23.85" hidden="false" customHeight="false" outlineLevel="0" collapsed="false">
      <c r="A15" s="4" t="s">
        <v>16</v>
      </c>
      <c r="B15" s="5" t="s">
        <v>17</v>
      </c>
    </row>
    <row r="16" customFormat="false" ht="23.85" hidden="false" customHeight="false" outlineLevel="0" collapsed="false">
      <c r="A16" s="4"/>
      <c r="B16" s="5" t="s">
        <v>18</v>
      </c>
    </row>
    <row r="17" customFormat="false" ht="23.85" hidden="false" customHeight="false" outlineLevel="0" collapsed="false">
      <c r="A17" s="4"/>
      <c r="B17" s="5" t="s">
        <v>19</v>
      </c>
    </row>
    <row r="18" customFormat="false" ht="15" hidden="false" customHeight="false" outlineLevel="0" collapsed="false">
      <c r="A18" s="4"/>
      <c r="B18" s="5" t="s">
        <v>20</v>
      </c>
    </row>
    <row r="19" customFormat="false" ht="15" hidden="false" customHeight="false" outlineLevel="0" collapsed="false">
      <c r="A19" s="4"/>
      <c r="B19" s="5" t="s">
        <v>21</v>
      </c>
    </row>
    <row r="20" customFormat="false" ht="15" hidden="false" customHeight="false" outlineLevel="0" collapsed="false">
      <c r="A20" s="3"/>
    </row>
    <row r="21" customFormat="false" ht="15" hidden="false" customHeight="false" outlineLevel="0" collapsed="false">
      <c r="A21" s="4" t="s">
        <v>22</v>
      </c>
      <c r="B21" s="5" t="s">
        <v>23</v>
      </c>
    </row>
    <row r="22" customFormat="false" ht="15" hidden="false" customHeight="false" outlineLevel="0" collapsed="false">
      <c r="A22" s="4"/>
      <c r="B22" s="5" t="s">
        <v>24</v>
      </c>
    </row>
    <row r="23" customFormat="false" ht="15" hidden="false" customHeight="false" outlineLevel="0" collapsed="false">
      <c r="A23" s="4"/>
      <c r="B23" s="5" t="s">
        <v>25</v>
      </c>
    </row>
    <row r="24" customFormat="false" ht="15" hidden="false" customHeight="false" outlineLevel="0" collapsed="false">
      <c r="A24" s="4"/>
      <c r="B24" s="5" t="s">
        <v>26</v>
      </c>
    </row>
    <row r="25" customFormat="false" ht="15" hidden="false" customHeight="false" outlineLevel="0" collapsed="false">
      <c r="A25" s="4"/>
      <c r="B25" s="5" t="s">
        <v>27</v>
      </c>
    </row>
    <row r="26" customFormat="false" ht="15" hidden="false" customHeight="false" outlineLevel="0" collapsed="false">
      <c r="A26" s="4"/>
      <c r="B26" s="5" t="s">
        <v>28</v>
      </c>
    </row>
    <row r="27" customFormat="false" ht="15" hidden="false" customHeight="false" outlineLevel="0" collapsed="false">
      <c r="A27" s="4"/>
      <c r="B27" s="5" t="s">
        <v>29</v>
      </c>
    </row>
    <row r="28" customFormat="false" ht="15" hidden="false" customHeight="false" outlineLevel="0" collapsed="false">
      <c r="A28" s="4"/>
      <c r="B28" s="5" t="s">
        <v>30</v>
      </c>
    </row>
    <row r="29" customFormat="false" ht="15" hidden="false" customHeight="false" outlineLevel="0" collapsed="false">
      <c r="A29" s="3"/>
    </row>
    <row r="30" customFormat="false" ht="23.85" hidden="false" customHeight="false" outlineLevel="0" collapsed="false">
      <c r="A30" s="4" t="s">
        <v>31</v>
      </c>
      <c r="B30" s="5" t="s">
        <v>32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44"/>
    <col collapsed="false" customWidth="true" hidden="false" outlineLevel="0" max="3" min="3" style="0" width="13"/>
    <col collapsed="false" customWidth="true" hidden="false" outlineLevel="0" max="4" min="4" style="0" width="22"/>
    <col collapsed="false" customWidth="true" hidden="false" outlineLevel="0" max="5" min="5" style="0" width="17"/>
    <col collapsed="false" customWidth="true" hidden="false" outlineLevel="0" max="6" min="6" style="0" width="120"/>
  </cols>
  <sheetData>
    <row r="1" customFormat="false" ht="15" hidden="false" customHeight="false" outlineLevel="0" collapsed="false">
      <c r="A1" s="1" t="s">
        <v>33</v>
      </c>
    </row>
    <row r="2" customFormat="false" ht="15" hidden="false" customHeight="false" outlineLevel="0" collapsed="false">
      <c r="A2" s="2" t="s">
        <v>34</v>
      </c>
    </row>
    <row r="4" customFormat="false" ht="15" hidden="false" customHeight="false" outlineLevel="0" collapsed="false">
      <c r="A4" s="6" t="s">
        <v>35</v>
      </c>
      <c r="B4" s="6" t="s">
        <v>36</v>
      </c>
      <c r="C4" s="6" t="s">
        <v>37</v>
      </c>
      <c r="D4" s="6" t="s">
        <v>38</v>
      </c>
      <c r="E4" s="6" t="s">
        <v>39</v>
      </c>
      <c r="F4" s="6" t="s">
        <v>40</v>
      </c>
    </row>
    <row r="5" customFormat="false" ht="15" hidden="false" customHeight="false" outlineLevel="0" collapsed="false">
      <c r="A5" s="7" t="s">
        <v>41</v>
      </c>
      <c r="B5" s="8"/>
      <c r="C5" s="8"/>
      <c r="D5" s="8"/>
      <c r="E5" s="8"/>
      <c r="F5" s="8"/>
    </row>
    <row r="6" customFormat="false" ht="35.05" hidden="false" customHeight="false" outlineLevel="0" collapsed="false">
      <c r="A6" s="3" t="n">
        <v>1</v>
      </c>
      <c r="B6" s="5" t="s">
        <v>42</v>
      </c>
      <c r="C6" s="9" t="n">
        <v>2790</v>
      </c>
      <c r="D6" s="5" t="s">
        <v>43</v>
      </c>
      <c r="E6" s="10" t="s">
        <v>44</v>
      </c>
      <c r="F6" s="5" t="s">
        <v>45</v>
      </c>
    </row>
    <row r="7" customFormat="false" ht="35.05" hidden="false" customHeight="false" outlineLevel="0" collapsed="false">
      <c r="A7" s="3" t="n">
        <v>2</v>
      </c>
      <c r="B7" s="5" t="s">
        <v>46</v>
      </c>
      <c r="C7" s="11" t="n">
        <v>0.89</v>
      </c>
      <c r="D7" s="5" t="s">
        <v>47</v>
      </c>
      <c r="E7" s="3" t="s">
        <v>48</v>
      </c>
      <c r="F7" s="5" t="s">
        <v>49</v>
      </c>
    </row>
    <row r="8" customFormat="false" ht="15" hidden="false" customHeight="false" outlineLevel="0" collapsed="false">
      <c r="A8" s="3" t="n">
        <v>3</v>
      </c>
      <c r="B8" s="5" t="s">
        <v>50</v>
      </c>
      <c r="C8" s="12" t="n">
        <v>0.015</v>
      </c>
      <c r="D8" s="5" t="s">
        <v>51</v>
      </c>
      <c r="E8" s="3" t="s">
        <v>52</v>
      </c>
      <c r="F8" s="5" t="s">
        <v>53</v>
      </c>
    </row>
    <row r="9" customFormat="false" ht="79.85" hidden="false" customHeight="false" outlineLevel="0" collapsed="false">
      <c r="A9" s="3" t="n">
        <v>4</v>
      </c>
      <c r="B9" s="5" t="s">
        <v>54</v>
      </c>
      <c r="C9" s="12" t="n">
        <v>0.043</v>
      </c>
      <c r="D9" s="5" t="s">
        <v>55</v>
      </c>
      <c r="E9" s="3" t="s">
        <v>48</v>
      </c>
      <c r="F9" s="5" t="s">
        <v>56</v>
      </c>
    </row>
    <row r="10" customFormat="false" ht="35.05" hidden="false" customHeight="false" outlineLevel="0" collapsed="false">
      <c r="A10" s="3" t="n">
        <v>5</v>
      </c>
      <c r="B10" s="5" t="s">
        <v>57</v>
      </c>
      <c r="C10" s="13" t="n">
        <v>0.3</v>
      </c>
      <c r="D10" s="5" t="s">
        <v>58</v>
      </c>
      <c r="E10" s="3" t="s">
        <v>48</v>
      </c>
      <c r="F10" s="5" t="s">
        <v>59</v>
      </c>
    </row>
    <row r="11" customFormat="false" ht="35.05" hidden="false" customHeight="false" outlineLevel="0" collapsed="false">
      <c r="A11" s="3" t="n">
        <v>6</v>
      </c>
      <c r="B11" s="5" t="s">
        <v>60</v>
      </c>
      <c r="C11" s="13" t="n">
        <v>0.22</v>
      </c>
      <c r="D11" s="5" t="s">
        <v>61</v>
      </c>
      <c r="E11" s="3" t="s">
        <v>52</v>
      </c>
      <c r="F11" s="5" t="s">
        <v>62</v>
      </c>
    </row>
    <row r="12" customFormat="false" ht="23.85" hidden="false" customHeight="false" outlineLevel="0" collapsed="false">
      <c r="A12" s="3" t="n">
        <v>7</v>
      </c>
      <c r="B12" s="5" t="s">
        <v>63</v>
      </c>
      <c r="C12" s="13" t="n">
        <v>0.3</v>
      </c>
      <c r="D12" s="5" t="s">
        <v>64</v>
      </c>
      <c r="E12" s="3" t="s">
        <v>52</v>
      </c>
      <c r="F12" s="5" t="s">
        <v>65</v>
      </c>
    </row>
    <row r="13" customFormat="false" ht="35.05" hidden="false" customHeight="false" outlineLevel="0" collapsed="false">
      <c r="A13" s="3" t="n">
        <v>8</v>
      </c>
      <c r="B13" s="5" t="s">
        <v>66</v>
      </c>
      <c r="C13" s="12" t="n">
        <v>0.57</v>
      </c>
      <c r="D13" s="5" t="s">
        <v>67</v>
      </c>
      <c r="E13" s="3" t="s">
        <v>48</v>
      </c>
      <c r="F13" s="5" t="s">
        <v>68</v>
      </c>
    </row>
    <row r="14" customFormat="false" ht="23.85" hidden="false" customHeight="false" outlineLevel="0" collapsed="false">
      <c r="A14" s="3" t="n">
        <v>9</v>
      </c>
      <c r="B14" s="5" t="s">
        <v>69</v>
      </c>
      <c r="C14" s="13" t="n">
        <v>0.7</v>
      </c>
      <c r="D14" s="5" t="s">
        <v>61</v>
      </c>
      <c r="E14" s="3" t="s">
        <v>52</v>
      </c>
      <c r="F14" s="5" t="s">
        <v>70</v>
      </c>
    </row>
    <row r="15" customFormat="false" ht="15" hidden="false" customHeight="false" outlineLevel="0" collapsed="false">
      <c r="A15" s="7" t="s">
        <v>71</v>
      </c>
      <c r="B15" s="8"/>
      <c r="C15" s="8"/>
      <c r="D15" s="8"/>
      <c r="E15" s="8"/>
      <c r="F15" s="8"/>
    </row>
    <row r="16" customFormat="false" ht="15" hidden="false" customHeight="false" outlineLevel="0" collapsed="false">
      <c r="A16" s="3" t="n">
        <v>10</v>
      </c>
      <c r="B16" s="5" t="s">
        <v>72</v>
      </c>
      <c r="C16" s="9" t="n">
        <v>1100</v>
      </c>
      <c r="D16" s="5" t="s">
        <v>73</v>
      </c>
      <c r="E16" s="10" t="s">
        <v>44</v>
      </c>
      <c r="F16" s="5" t="s">
        <v>74</v>
      </c>
    </row>
    <row r="17" customFormat="false" ht="46.25" hidden="false" customHeight="false" outlineLevel="0" collapsed="false">
      <c r="A17" s="3" t="n">
        <v>11</v>
      </c>
      <c r="B17" s="5" t="s">
        <v>75</v>
      </c>
      <c r="C17" s="13" t="n">
        <v>1</v>
      </c>
      <c r="D17" s="5" t="s">
        <v>76</v>
      </c>
      <c r="E17" s="4" t="s">
        <v>77</v>
      </c>
      <c r="F17" s="5" t="s">
        <v>78</v>
      </c>
    </row>
    <row r="18" customFormat="false" ht="15" hidden="false" customHeight="false" outlineLevel="0" collapsed="false">
      <c r="A18" s="3" t="n">
        <v>12</v>
      </c>
      <c r="B18" s="5" t="s">
        <v>79</v>
      </c>
      <c r="C18" s="11" t="n">
        <v>4</v>
      </c>
      <c r="D18" s="5" t="s">
        <v>80</v>
      </c>
      <c r="E18" s="4" t="s">
        <v>77</v>
      </c>
      <c r="F18" s="5" t="s">
        <v>81</v>
      </c>
    </row>
    <row r="19" customFormat="false" ht="15" hidden="false" customHeight="false" outlineLevel="0" collapsed="false">
      <c r="A19" s="3" t="n">
        <v>13</v>
      </c>
      <c r="B19" s="5" t="s">
        <v>82</v>
      </c>
      <c r="C19" s="12" t="n">
        <v>0.5</v>
      </c>
      <c r="D19" s="5" t="s">
        <v>83</v>
      </c>
      <c r="E19" s="3" t="s">
        <v>52</v>
      </c>
      <c r="F19" s="5" t="s">
        <v>84</v>
      </c>
    </row>
    <row r="20" customFormat="false" ht="15" hidden="false" customHeight="false" outlineLevel="0" collapsed="false">
      <c r="A20" s="3" t="n">
        <v>14</v>
      </c>
      <c r="B20" s="5" t="s">
        <v>85</v>
      </c>
      <c r="C20" s="14" t="n">
        <v>2</v>
      </c>
      <c r="D20" s="5" t="s">
        <v>80</v>
      </c>
      <c r="E20" s="3" t="s">
        <v>52</v>
      </c>
      <c r="F20" s="5" t="s">
        <v>86</v>
      </c>
    </row>
    <row r="21" customFormat="false" ht="46.25" hidden="false" customHeight="false" outlineLevel="0" collapsed="false">
      <c r="A21" s="3" t="n">
        <v>15</v>
      </c>
      <c r="B21" s="5" t="s">
        <v>87</v>
      </c>
      <c r="C21" s="11" t="n">
        <v>80</v>
      </c>
      <c r="D21" s="5" t="s">
        <v>88</v>
      </c>
      <c r="E21" s="3" t="s">
        <v>52</v>
      </c>
      <c r="F21" s="5" t="s">
        <v>89</v>
      </c>
    </row>
    <row r="22" customFormat="false" ht="15" hidden="false" customHeight="false" outlineLevel="0" collapsed="false">
      <c r="A22" s="3" t="n">
        <v>16</v>
      </c>
      <c r="B22" s="5" t="s">
        <v>90</v>
      </c>
      <c r="C22" s="14" t="n">
        <v>25</v>
      </c>
      <c r="D22" s="5" t="s">
        <v>88</v>
      </c>
      <c r="E22" s="3" t="s">
        <v>52</v>
      </c>
      <c r="F22" s="5" t="s">
        <v>91</v>
      </c>
    </row>
    <row r="23" customFormat="false" ht="15" hidden="false" customHeight="false" outlineLevel="0" collapsed="false">
      <c r="A23" s="7" t="s">
        <v>92</v>
      </c>
      <c r="B23" s="8"/>
      <c r="C23" s="8"/>
      <c r="D23" s="8"/>
      <c r="E23" s="8"/>
      <c r="F23" s="8"/>
    </row>
    <row r="24" customFormat="false" ht="46.25" hidden="false" customHeight="false" outlineLevel="0" collapsed="false">
      <c r="A24" s="3" t="n">
        <v>17</v>
      </c>
      <c r="B24" s="5" t="s">
        <v>93</v>
      </c>
      <c r="C24" s="15" t="n">
        <v>0.6</v>
      </c>
      <c r="D24" s="5" t="s">
        <v>94</v>
      </c>
      <c r="E24" s="3" t="s">
        <v>48</v>
      </c>
      <c r="F24" s="5" t="s">
        <v>95</v>
      </c>
    </row>
    <row r="25" customFormat="false" ht="46.25" hidden="false" customHeight="false" outlineLevel="0" collapsed="false">
      <c r="A25" s="3" t="n">
        <v>18</v>
      </c>
      <c r="B25" s="5" t="s">
        <v>96</v>
      </c>
      <c r="C25" s="16" t="n">
        <v>0.45</v>
      </c>
      <c r="D25" s="5" t="s">
        <v>94</v>
      </c>
      <c r="E25" s="3" t="s">
        <v>52</v>
      </c>
      <c r="F25" s="5" t="s">
        <v>97</v>
      </c>
    </row>
    <row r="26" customFormat="false" ht="35.05" hidden="false" customHeight="false" outlineLevel="0" collapsed="false">
      <c r="A26" s="3" t="n">
        <v>19</v>
      </c>
      <c r="B26" s="5" t="s">
        <v>98</v>
      </c>
      <c r="C26" s="15" t="n">
        <v>0.42</v>
      </c>
      <c r="D26" s="5" t="s">
        <v>94</v>
      </c>
      <c r="E26" s="3" t="s">
        <v>48</v>
      </c>
      <c r="F26" s="5" t="s">
        <v>99</v>
      </c>
    </row>
    <row r="27" customFormat="false" ht="79.85" hidden="false" customHeight="false" outlineLevel="0" collapsed="false">
      <c r="A27" s="3" t="n">
        <v>20</v>
      </c>
      <c r="B27" s="5" t="s">
        <v>100</v>
      </c>
      <c r="C27" s="15" t="n">
        <v>0.186</v>
      </c>
      <c r="D27" s="5" t="s">
        <v>94</v>
      </c>
      <c r="E27" s="10" t="s">
        <v>48</v>
      </c>
      <c r="F27" s="5" t="s">
        <v>101</v>
      </c>
    </row>
    <row r="28" customFormat="false" ht="68.65" hidden="false" customHeight="false" outlineLevel="0" collapsed="false">
      <c r="A28" s="3" t="n">
        <v>21</v>
      </c>
      <c r="B28" s="5" t="s">
        <v>102</v>
      </c>
      <c r="C28" s="16" t="n">
        <v>0.01</v>
      </c>
      <c r="D28" s="5" t="s">
        <v>94</v>
      </c>
      <c r="E28" s="3" t="s">
        <v>52</v>
      </c>
      <c r="F28" s="5" t="s">
        <v>103</v>
      </c>
    </row>
    <row r="29" customFormat="false" ht="15" hidden="false" customHeight="false" outlineLevel="0" collapsed="false">
      <c r="A29" s="3" t="n">
        <v>22</v>
      </c>
      <c r="B29" s="5" t="s">
        <v>104</v>
      </c>
      <c r="C29" s="12" t="n">
        <v>0.05</v>
      </c>
      <c r="D29" s="5" t="s">
        <v>105</v>
      </c>
      <c r="E29" s="3" t="s">
        <v>52</v>
      </c>
      <c r="F29" s="5" t="s">
        <v>106</v>
      </c>
    </row>
    <row r="30" customFormat="false" ht="15" hidden="false" customHeight="false" outlineLevel="0" collapsed="false">
      <c r="A30" s="7" t="s">
        <v>107</v>
      </c>
      <c r="B30" s="8"/>
      <c r="C30" s="8"/>
      <c r="D30" s="8"/>
      <c r="E30" s="8"/>
      <c r="F30" s="8"/>
    </row>
    <row r="31" customFormat="false" ht="35.05" hidden="false" customHeight="false" outlineLevel="0" collapsed="false">
      <c r="A31" s="3" t="n">
        <v>23</v>
      </c>
      <c r="B31" s="5" t="s">
        <v>108</v>
      </c>
      <c r="C31" s="9" t="n">
        <v>19000</v>
      </c>
      <c r="D31" s="5" t="s">
        <v>109</v>
      </c>
      <c r="E31" s="3" t="s">
        <v>48</v>
      </c>
      <c r="F31" s="5" t="s">
        <v>110</v>
      </c>
    </row>
    <row r="32" customFormat="false" ht="15" hidden="false" customHeight="false" outlineLevel="0" collapsed="false">
      <c r="A32" s="3" t="n">
        <v>24</v>
      </c>
      <c r="B32" s="5" t="s">
        <v>111</v>
      </c>
      <c r="C32" s="17" t="n">
        <v>1500</v>
      </c>
      <c r="D32" s="5" t="s">
        <v>112</v>
      </c>
      <c r="E32" s="3" t="s">
        <v>52</v>
      </c>
      <c r="F32" s="5" t="s">
        <v>113</v>
      </c>
    </row>
    <row r="33" customFormat="false" ht="46.25" hidden="false" customHeight="false" outlineLevel="0" collapsed="false">
      <c r="A33" s="3" t="n">
        <v>25</v>
      </c>
      <c r="B33" s="5" t="s">
        <v>114</v>
      </c>
      <c r="C33" s="9" t="n">
        <v>180000</v>
      </c>
      <c r="D33" s="5" t="s">
        <v>115</v>
      </c>
      <c r="E33" s="3" t="s">
        <v>48</v>
      </c>
      <c r="F33" s="5" t="s">
        <v>116</v>
      </c>
    </row>
    <row r="34" customFormat="false" ht="46.25" hidden="false" customHeight="false" outlineLevel="0" collapsed="false">
      <c r="A34" s="3" t="n">
        <v>26</v>
      </c>
      <c r="B34" s="5" t="s">
        <v>117</v>
      </c>
      <c r="C34" s="17" t="n">
        <v>6000</v>
      </c>
      <c r="D34" s="5" t="s">
        <v>118</v>
      </c>
      <c r="E34" s="3" t="s">
        <v>52</v>
      </c>
      <c r="F34" s="5" t="s">
        <v>119</v>
      </c>
    </row>
    <row r="35" customFormat="false" ht="46.25" hidden="false" customHeight="false" outlineLevel="0" collapsed="false">
      <c r="A35" s="3" t="n">
        <v>27</v>
      </c>
      <c r="B35" s="5" t="s">
        <v>120</v>
      </c>
      <c r="C35" s="17" t="n">
        <v>60000</v>
      </c>
      <c r="D35" s="5" t="s">
        <v>121</v>
      </c>
      <c r="E35" s="3" t="s">
        <v>52</v>
      </c>
      <c r="F35" s="5" t="s">
        <v>122</v>
      </c>
    </row>
    <row r="36" customFormat="false" ht="15" hidden="false" customHeight="false" outlineLevel="0" collapsed="false">
      <c r="A36" s="3" t="n">
        <v>28</v>
      </c>
      <c r="B36" s="5" t="s">
        <v>123</v>
      </c>
      <c r="C36" s="11" t="n">
        <v>12</v>
      </c>
      <c r="D36" s="5" t="s">
        <v>124</v>
      </c>
      <c r="E36" s="3" t="s">
        <v>48</v>
      </c>
      <c r="F36" s="5" t="s">
        <v>125</v>
      </c>
    </row>
    <row r="37" customFormat="false" ht="15" hidden="false" customHeight="false" outlineLevel="0" collapsed="false">
      <c r="A37" s="3" t="n">
        <v>29</v>
      </c>
      <c r="B37" s="5" t="s">
        <v>126</v>
      </c>
      <c r="C37" s="11" t="n">
        <v>10</v>
      </c>
      <c r="D37" s="5" t="s">
        <v>124</v>
      </c>
      <c r="E37" s="3" t="s">
        <v>52</v>
      </c>
      <c r="F37" s="5" t="s">
        <v>127</v>
      </c>
    </row>
    <row r="38" customFormat="false" ht="15" hidden="false" customHeight="false" outlineLevel="0" collapsed="false">
      <c r="A38" s="3" t="n">
        <v>30</v>
      </c>
      <c r="B38" s="5" t="s">
        <v>128</v>
      </c>
      <c r="C38" s="11" t="n">
        <v>15</v>
      </c>
      <c r="D38" s="5" t="s">
        <v>124</v>
      </c>
      <c r="E38" s="3" t="s">
        <v>52</v>
      </c>
      <c r="F38" s="5" t="s">
        <v>127</v>
      </c>
    </row>
    <row r="39" customFormat="false" ht="15" hidden="false" customHeight="false" outlineLevel="0" collapsed="false">
      <c r="A39" s="7" t="s">
        <v>129</v>
      </c>
      <c r="B39" s="8"/>
      <c r="C39" s="8"/>
      <c r="D39" s="8"/>
      <c r="E39" s="8"/>
      <c r="F39" s="8"/>
    </row>
    <row r="40" customFormat="false" ht="23.85" hidden="false" customHeight="false" outlineLevel="0" collapsed="false">
      <c r="A40" s="3" t="n">
        <v>31</v>
      </c>
      <c r="B40" s="5" t="s">
        <v>130</v>
      </c>
      <c r="C40" s="17" t="n">
        <v>1500</v>
      </c>
      <c r="D40" s="5" t="s">
        <v>131</v>
      </c>
      <c r="E40" s="4" t="s">
        <v>77</v>
      </c>
      <c r="F40" s="5" t="s">
        <v>132</v>
      </c>
    </row>
    <row r="41" customFormat="false" ht="57.45" hidden="false" customHeight="false" outlineLevel="0" collapsed="false">
      <c r="A41" s="3" t="n">
        <v>32</v>
      </c>
      <c r="B41" s="5" t="s">
        <v>133</v>
      </c>
      <c r="C41" s="9" t="n">
        <v>3000</v>
      </c>
      <c r="D41" s="5" t="s">
        <v>134</v>
      </c>
      <c r="E41" s="10" t="s">
        <v>44</v>
      </c>
      <c r="F41" s="5" t="s">
        <v>135</v>
      </c>
    </row>
    <row r="42" customFormat="false" ht="15" hidden="false" customHeight="false" outlineLevel="0" collapsed="false">
      <c r="A42" s="3" t="n">
        <v>33</v>
      </c>
      <c r="B42" s="5" t="s">
        <v>136</v>
      </c>
      <c r="C42" s="9" t="n">
        <v>5000</v>
      </c>
      <c r="D42" s="5" t="s">
        <v>134</v>
      </c>
      <c r="E42" s="10" t="s">
        <v>44</v>
      </c>
      <c r="F42" s="5" t="s">
        <v>137</v>
      </c>
    </row>
    <row r="43" customFormat="false" ht="23.85" hidden="false" customHeight="false" outlineLevel="0" collapsed="false">
      <c r="A43" s="3" t="n">
        <v>34</v>
      </c>
      <c r="B43" s="5" t="s">
        <v>138</v>
      </c>
      <c r="C43" s="9" t="n">
        <v>10000</v>
      </c>
      <c r="D43" s="5" t="s">
        <v>134</v>
      </c>
      <c r="E43" s="10" t="s">
        <v>44</v>
      </c>
      <c r="F43" s="5" t="s">
        <v>139</v>
      </c>
    </row>
    <row r="44" customFormat="false" ht="46.25" hidden="false" customHeight="false" outlineLevel="0" collapsed="false">
      <c r="A44" s="3" t="n">
        <v>35</v>
      </c>
      <c r="B44" s="5" t="s">
        <v>140</v>
      </c>
      <c r="C44" s="15" t="n">
        <v>1.1693</v>
      </c>
      <c r="D44" s="5" t="s">
        <v>141</v>
      </c>
      <c r="E44" s="10" t="s">
        <v>44</v>
      </c>
      <c r="F44" s="5" t="s">
        <v>142</v>
      </c>
    </row>
    <row r="45" customFormat="false" ht="46.25" hidden="false" customHeight="false" outlineLevel="0" collapsed="false">
      <c r="A45" s="3" t="n">
        <v>36</v>
      </c>
      <c r="B45" s="5" t="s">
        <v>143</v>
      </c>
      <c r="C45" s="13" t="n">
        <v>0.15</v>
      </c>
      <c r="D45" s="5" t="s">
        <v>144</v>
      </c>
      <c r="E45" s="3" t="s">
        <v>52</v>
      </c>
      <c r="F45" s="5" t="s">
        <v>145</v>
      </c>
    </row>
    <row r="46" customFormat="false" ht="15" hidden="false" customHeight="false" outlineLevel="0" collapsed="false">
      <c r="A46" s="3" t="n">
        <v>37</v>
      </c>
      <c r="B46" s="5" t="s">
        <v>146</v>
      </c>
      <c r="C46" s="12" t="n">
        <v>0.1</v>
      </c>
      <c r="D46" s="5" t="s">
        <v>147</v>
      </c>
      <c r="E46" s="3" t="s">
        <v>52</v>
      </c>
      <c r="F46" s="5" t="s">
        <v>148</v>
      </c>
    </row>
    <row r="47" customFormat="false" ht="15" hidden="false" customHeight="false" outlineLevel="0" collapsed="false">
      <c r="A47" s="3" t="n">
        <v>38</v>
      </c>
      <c r="B47" s="5" t="s">
        <v>149</v>
      </c>
      <c r="C47" s="12" t="n">
        <v>0.25</v>
      </c>
      <c r="D47" s="5" t="s">
        <v>147</v>
      </c>
      <c r="E47" s="3" t="s">
        <v>52</v>
      </c>
      <c r="F47" s="5" t="s">
        <v>148</v>
      </c>
    </row>
    <row r="48" customFormat="false" ht="15" hidden="false" customHeight="false" outlineLevel="0" collapsed="false">
      <c r="A48" s="7" t="s">
        <v>150</v>
      </c>
      <c r="B48" s="8"/>
      <c r="C48" s="8"/>
      <c r="D48" s="8"/>
      <c r="E48" s="8"/>
      <c r="F48" s="8"/>
    </row>
    <row r="49" customFormat="false" ht="23.85" hidden="false" customHeight="false" outlineLevel="0" collapsed="false">
      <c r="A49" s="3" t="n">
        <v>39</v>
      </c>
      <c r="B49" s="5" t="s">
        <v>151</v>
      </c>
      <c r="C49" s="17" t="n">
        <v>80000</v>
      </c>
      <c r="D49" s="5" t="s">
        <v>115</v>
      </c>
      <c r="E49" s="3" t="s">
        <v>52</v>
      </c>
      <c r="F49" s="5" t="s">
        <v>152</v>
      </c>
    </row>
    <row r="50" customFormat="false" ht="15" hidden="false" customHeight="false" outlineLevel="0" collapsed="false">
      <c r="A50" s="3" t="n">
        <v>40</v>
      </c>
      <c r="B50" s="5" t="s">
        <v>153</v>
      </c>
      <c r="C50" s="17" t="n">
        <v>8000</v>
      </c>
      <c r="D50" s="5" t="s">
        <v>109</v>
      </c>
      <c r="E50" s="3" t="s">
        <v>52</v>
      </c>
      <c r="F50" s="5" t="s">
        <v>154</v>
      </c>
    </row>
    <row r="51" customFormat="false" ht="15" hidden="false" customHeight="false" outlineLevel="0" collapsed="false">
      <c r="A51" s="7" t="s">
        <v>155</v>
      </c>
      <c r="B51" s="8"/>
      <c r="C51" s="8"/>
      <c r="D51" s="8"/>
      <c r="E51" s="8"/>
      <c r="F51" s="8"/>
    </row>
    <row r="52" customFormat="false" ht="23.85" hidden="false" customHeight="false" outlineLevel="0" collapsed="false">
      <c r="A52" s="3" t="n">
        <v>41</v>
      </c>
      <c r="B52" s="5" t="s">
        <v>156</v>
      </c>
      <c r="C52" s="9" t="n">
        <v>25000</v>
      </c>
      <c r="D52" s="5" t="s">
        <v>157</v>
      </c>
      <c r="E52" s="3" t="s">
        <v>158</v>
      </c>
      <c r="F52" s="5" t="s">
        <v>159</v>
      </c>
    </row>
    <row r="54" customFormat="false" ht="75.75" hidden="false" customHeight="true" outlineLevel="0" collapsed="false">
      <c r="A54" s="18" t="s">
        <v>160</v>
      </c>
      <c r="B54" s="18"/>
      <c r="C54" s="18"/>
      <c r="D54" s="18"/>
      <c r="E54" s="18"/>
      <c r="F54" s="18"/>
    </row>
    <row r="56" customFormat="false" ht="57.75" hidden="false" customHeight="true" outlineLevel="0" collapsed="false">
      <c r="A56" s="18" t="s">
        <v>161</v>
      </c>
      <c r="B56" s="18"/>
      <c r="C56" s="18"/>
      <c r="D56" s="18"/>
      <c r="E56" s="18"/>
      <c r="F56" s="18"/>
    </row>
    <row r="58" customFormat="false" ht="57.75" hidden="false" customHeight="true" outlineLevel="0" collapsed="false">
      <c r="A58" s="18" t="s">
        <v>162</v>
      </c>
      <c r="B58" s="18"/>
      <c r="C58" s="18"/>
      <c r="D58" s="18"/>
      <c r="E58" s="18"/>
      <c r="F58" s="18"/>
    </row>
    <row r="60" customFormat="false" ht="57.75" hidden="false" customHeight="true" outlineLevel="0" collapsed="false">
      <c r="A60" s="18" t="s">
        <v>163</v>
      </c>
      <c r="B60" s="18"/>
      <c r="C60" s="18"/>
      <c r="D60" s="18"/>
      <c r="E60" s="18"/>
      <c r="F60" s="18"/>
    </row>
  </sheetData>
  <mergeCells count="4">
    <mergeCell ref="A54:F54"/>
    <mergeCell ref="A56:F56"/>
    <mergeCell ref="A58:F58"/>
    <mergeCell ref="A60:F6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2" min="2" style="0" width="14"/>
    <col collapsed="false" customWidth="true" hidden="false" outlineLevel="0" max="3" min="3" style="0" width="13"/>
    <col collapsed="false" customWidth="true" hidden="false" outlineLevel="0" max="4" min="4" style="0" width="12"/>
    <col collapsed="false" customWidth="true" hidden="false" outlineLevel="0" max="5" min="5" style="0" width="16"/>
    <col collapsed="false" customWidth="true" hidden="false" outlineLevel="0" max="6" min="6" style="0" width="96"/>
  </cols>
  <sheetData>
    <row r="1" customFormat="false" ht="15" hidden="false" customHeight="false" outlineLevel="0" collapsed="false">
      <c r="A1" s="1" t="s">
        <v>164</v>
      </c>
    </row>
    <row r="2" customFormat="false" ht="42" hidden="false" customHeight="true" outlineLevel="0" collapsed="false">
      <c r="A2" s="19" t="s">
        <v>165</v>
      </c>
    </row>
    <row r="4" customFormat="false" ht="23.85" hidden="false" customHeight="false" outlineLevel="0" collapsed="false">
      <c r="A4" s="6" t="s">
        <v>166</v>
      </c>
      <c r="B4" s="6" t="s">
        <v>167</v>
      </c>
      <c r="C4" s="6" t="s">
        <v>168</v>
      </c>
      <c r="D4" s="6" t="s">
        <v>169</v>
      </c>
      <c r="E4" s="6" t="s">
        <v>170</v>
      </c>
      <c r="F4" s="6" t="s">
        <v>171</v>
      </c>
    </row>
    <row r="5" customFormat="false" ht="35.05" hidden="false" customHeight="false" outlineLevel="0" collapsed="false">
      <c r="A5" s="5" t="s">
        <v>172</v>
      </c>
      <c r="B5" s="3" t="s">
        <v>173</v>
      </c>
      <c r="C5" s="20" t="n">
        <f aca="false">Assumptions!$C$6*(1+Assumptions!$C$8)^5</f>
        <v>3005.62237083741</v>
      </c>
      <c r="D5" s="3" t="s">
        <v>174</v>
      </c>
      <c r="E5" s="3" t="s">
        <v>48</v>
      </c>
      <c r="F5" s="5" t="s">
        <v>175</v>
      </c>
    </row>
    <row r="6" customFormat="false" ht="23.85" hidden="false" customHeight="false" outlineLevel="0" collapsed="false">
      <c r="A6" s="5" t="s">
        <v>176</v>
      </c>
      <c r="B6" s="3" t="s">
        <v>177</v>
      </c>
      <c r="C6" s="20" t="n">
        <f aca="false">C5*Assumptions!$C$7</f>
        <v>2675.00391004529</v>
      </c>
      <c r="D6" s="3" t="s">
        <v>174</v>
      </c>
      <c r="E6" s="3" t="s">
        <v>48</v>
      </c>
      <c r="F6" s="5" t="s">
        <v>178</v>
      </c>
    </row>
    <row r="7" customFormat="false" ht="46.25" hidden="false" customHeight="false" outlineLevel="0" collapsed="false">
      <c r="A7" s="5" t="s">
        <v>179</v>
      </c>
      <c r="B7" s="3" t="s">
        <v>180</v>
      </c>
      <c r="C7" s="20" t="n">
        <f aca="false">C6*Assumptions!$C$9</f>
        <v>115.025168131947</v>
      </c>
      <c r="D7" s="3" t="s">
        <v>174</v>
      </c>
      <c r="E7" s="3" t="s">
        <v>48</v>
      </c>
      <c r="F7" s="5" t="s">
        <v>181</v>
      </c>
    </row>
    <row r="8" customFormat="false" ht="35.05" hidden="false" customHeight="false" outlineLevel="0" collapsed="false">
      <c r="A8" s="5" t="s">
        <v>182</v>
      </c>
      <c r="B8" s="3" t="s">
        <v>183</v>
      </c>
      <c r="C8" s="20" t="n">
        <f aca="false">C7*Assumptions!$C$10</f>
        <v>34.5075504395842</v>
      </c>
      <c r="D8" s="3" t="s">
        <v>174</v>
      </c>
      <c r="E8" s="3" t="s">
        <v>48</v>
      </c>
      <c r="F8" s="5" t="s">
        <v>184</v>
      </c>
    </row>
    <row r="9" customFormat="false" ht="35.05" hidden="false" customHeight="false" outlineLevel="0" collapsed="false">
      <c r="A9" s="5" t="s">
        <v>185</v>
      </c>
      <c r="B9" s="3" t="s">
        <v>186</v>
      </c>
      <c r="C9" s="20" t="n">
        <f aca="false">C8*Assumptions!$C$11</f>
        <v>7.59166109670853</v>
      </c>
      <c r="D9" s="3" t="s">
        <v>174</v>
      </c>
      <c r="E9" s="4" t="s">
        <v>77</v>
      </c>
      <c r="F9" s="5" t="s">
        <v>187</v>
      </c>
    </row>
    <row r="10" customFormat="false" ht="23.85" hidden="false" customHeight="false" outlineLevel="0" collapsed="false">
      <c r="A10" s="5" t="s">
        <v>188</v>
      </c>
      <c r="B10" s="3" t="s">
        <v>183</v>
      </c>
      <c r="C10" s="20" t="n">
        <f aca="false">C9*Assumptions!$C$12</f>
        <v>2.27749832901256</v>
      </c>
      <c r="D10" s="3" t="s">
        <v>174</v>
      </c>
      <c r="E10" s="4" t="s">
        <v>77</v>
      </c>
      <c r="F10" s="5" t="s">
        <v>189</v>
      </c>
    </row>
    <row r="11" customFormat="false" ht="35.05" hidden="false" customHeight="false" outlineLevel="0" collapsed="false">
      <c r="A11" s="21" t="s">
        <v>190</v>
      </c>
      <c r="B11" s="22" t="s">
        <v>191</v>
      </c>
      <c r="C11" s="23" t="n">
        <f aca="false">C10*Assumptions!$C$13</f>
        <v>1.29817404753716</v>
      </c>
      <c r="D11" s="22" t="s">
        <v>174</v>
      </c>
      <c r="E11" s="22" t="s">
        <v>48</v>
      </c>
      <c r="F11" s="21" t="s">
        <v>192</v>
      </c>
    </row>
    <row r="13" customFormat="false" ht="15" hidden="false" customHeight="false" outlineLevel="0" collapsed="false">
      <c r="A13" s="4" t="s">
        <v>193</v>
      </c>
    </row>
    <row r="14" customFormat="false" ht="23.85" hidden="false" customHeight="false" outlineLevel="0" collapsed="false">
      <c r="A14" s="6" t="s">
        <v>194</v>
      </c>
      <c r="B14" s="6" t="s">
        <v>195</v>
      </c>
      <c r="C14" s="6" t="s">
        <v>37</v>
      </c>
      <c r="D14" s="6" t="s">
        <v>169</v>
      </c>
      <c r="E14" s="6" t="s">
        <v>39</v>
      </c>
      <c r="F14" s="6" t="s">
        <v>171</v>
      </c>
    </row>
    <row r="15" customFormat="false" ht="35.05" hidden="false" customHeight="false" outlineLevel="0" collapsed="false">
      <c r="A15" s="3" t="s">
        <v>196</v>
      </c>
      <c r="B15" s="3" t="s">
        <v>197</v>
      </c>
      <c r="C15" s="24" t="n">
        <f aca="false">Assumptions!$C$24*Assumptions!$C$14+Assumptions!$C$25*(1-Assumptions!$C$14)</f>
        <v>0.555</v>
      </c>
      <c r="D15" s="3" t="s">
        <v>198</v>
      </c>
      <c r="E15" s="3" t="s">
        <v>52</v>
      </c>
      <c r="F15" s="25" t="s">
        <v>199</v>
      </c>
    </row>
    <row r="16" customFormat="false" ht="23.85" hidden="false" customHeight="false" outlineLevel="0" collapsed="false">
      <c r="A16" s="5" t="s">
        <v>200</v>
      </c>
      <c r="B16" s="3" t="s">
        <v>201</v>
      </c>
      <c r="C16" s="26" t="n">
        <f aca="false">C8*C15*1000</f>
        <v>19151.6904939693</v>
      </c>
      <c r="D16" s="3" t="s">
        <v>202</v>
      </c>
      <c r="E16" s="3" t="s">
        <v>48</v>
      </c>
      <c r="F16" s="25" t="s">
        <v>203</v>
      </c>
    </row>
    <row r="17" customFormat="false" ht="79.85" hidden="false" customHeight="false" outlineLevel="0" collapsed="false">
      <c r="A17" s="3" t="s">
        <v>204</v>
      </c>
      <c r="B17" s="3" t="s">
        <v>197</v>
      </c>
      <c r="C17" s="24" t="n">
        <f aca="false">'3. Margin stacks'!B7/'2. Verdal volume'!B17</f>
        <v>0.564285714285714</v>
      </c>
      <c r="D17" s="3" t="s">
        <v>198</v>
      </c>
      <c r="E17" s="3" t="s">
        <v>48</v>
      </c>
      <c r="F17" s="25" t="s">
        <v>205</v>
      </c>
    </row>
    <row r="18" customFormat="false" ht="23.85" hidden="false" customHeight="false" outlineLevel="0" collapsed="false">
      <c r="A18" s="5" t="s">
        <v>206</v>
      </c>
      <c r="B18" s="3" t="s">
        <v>207</v>
      </c>
      <c r="C18" s="26" t="n">
        <f aca="false">C11*C17*1000</f>
        <v>732.541069681683</v>
      </c>
      <c r="D18" s="3" t="s">
        <v>202</v>
      </c>
      <c r="E18" s="3" t="s">
        <v>48</v>
      </c>
      <c r="F18" s="25" t="s">
        <v>208</v>
      </c>
    </row>
    <row r="19" customFormat="false" ht="23.85" hidden="false" customHeight="false" outlineLevel="0" collapsed="false">
      <c r="A19" s="22" t="s">
        <v>209</v>
      </c>
      <c r="B19" s="22" t="s">
        <v>210</v>
      </c>
      <c r="C19" s="27" t="n">
        <f aca="false">'3. Margin stacks'!D29</f>
        <v>7.1366625</v>
      </c>
      <c r="D19" s="22" t="s">
        <v>202</v>
      </c>
      <c r="E19" s="28" t="s">
        <v>77</v>
      </c>
      <c r="F19" s="29" t="s">
        <v>211</v>
      </c>
    </row>
    <row r="21" customFormat="false" ht="45.75" hidden="false" customHeight="true" outlineLevel="0" collapsed="false">
      <c r="A21" s="30" t="s">
        <v>212</v>
      </c>
      <c r="B21" s="30"/>
      <c r="C21" s="30"/>
      <c r="D21" s="30"/>
      <c r="E21" s="30"/>
      <c r="F21" s="30"/>
    </row>
    <row r="23" customFormat="false" ht="45.75" hidden="false" customHeight="true" outlineLevel="0" collapsed="false">
      <c r="A23" s="30" t="s">
        <v>213</v>
      </c>
      <c r="B23" s="30"/>
      <c r="C23" s="30"/>
      <c r="D23" s="30"/>
      <c r="E23" s="30"/>
      <c r="F23" s="30"/>
    </row>
  </sheetData>
  <mergeCells count="2">
    <mergeCell ref="A21:F21"/>
    <mergeCell ref="A23:F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2"/>
    <col collapsed="false" customWidth="true" hidden="false" outlineLevel="0" max="2" min="2" style="0" width="14"/>
    <col collapsed="false" customWidth="true" hidden="false" outlineLevel="0" max="3" min="3" style="0" width="12"/>
    <col collapsed="false" customWidth="true" hidden="false" outlineLevel="0" max="4" min="4" style="0" width="110"/>
  </cols>
  <sheetData>
    <row r="1" customFormat="false" ht="15" hidden="false" customHeight="false" outlineLevel="0" collapsed="false">
      <c r="A1" s="1" t="s">
        <v>214</v>
      </c>
    </row>
    <row r="2" customFormat="false" ht="31.5" hidden="false" customHeight="true" outlineLevel="0" collapsed="false">
      <c r="A2" s="19" t="s">
        <v>215</v>
      </c>
    </row>
    <row r="4" customFormat="false" ht="15" hidden="false" customHeight="false" outlineLevel="0" collapsed="false">
      <c r="A4" s="6" t="s">
        <v>216</v>
      </c>
      <c r="B4" s="6" t="s">
        <v>37</v>
      </c>
      <c r="C4" s="6" t="s">
        <v>169</v>
      </c>
      <c r="D4" s="6" t="s">
        <v>217</v>
      </c>
    </row>
    <row r="5" customFormat="false" ht="15" hidden="false" customHeight="false" outlineLevel="0" collapsed="false">
      <c r="A5" s="5" t="s">
        <v>72</v>
      </c>
      <c r="B5" s="31" t="n">
        <f aca="false">Assumptions!$C$16</f>
        <v>1100</v>
      </c>
      <c r="C5" s="3" t="s">
        <v>73</v>
      </c>
      <c r="D5" s="5" t="s">
        <v>218</v>
      </c>
    </row>
    <row r="6" customFormat="false" ht="23.85" hidden="false" customHeight="false" outlineLevel="0" collapsed="false">
      <c r="A6" s="32" t="s">
        <v>75</v>
      </c>
      <c r="B6" s="33" t="n">
        <f aca="false">Assumptions!$C$17</f>
        <v>1</v>
      </c>
      <c r="C6" s="34" t="s">
        <v>76</v>
      </c>
      <c r="D6" s="32" t="s">
        <v>219</v>
      </c>
    </row>
    <row r="7" customFormat="false" ht="15" hidden="false" customHeight="false" outlineLevel="0" collapsed="false">
      <c r="A7" s="5" t="s">
        <v>220</v>
      </c>
      <c r="B7" s="31" t="n">
        <f aca="false">B5*B6</f>
        <v>1100</v>
      </c>
      <c r="C7" s="3" t="s">
        <v>73</v>
      </c>
      <c r="D7" s="5" t="s">
        <v>221</v>
      </c>
    </row>
    <row r="8" customFormat="false" ht="15" hidden="false" customHeight="false" outlineLevel="0" collapsed="false">
      <c r="A8" s="32" t="s">
        <v>79</v>
      </c>
      <c r="B8" s="35" t="n">
        <f aca="false">Assumptions!$C$18</f>
        <v>4</v>
      </c>
      <c r="C8" s="34" t="s">
        <v>80</v>
      </c>
      <c r="D8" s="32" t="s">
        <v>222</v>
      </c>
    </row>
    <row r="9" customFormat="false" ht="15" hidden="false" customHeight="false" outlineLevel="0" collapsed="false">
      <c r="A9" s="5" t="s">
        <v>223</v>
      </c>
      <c r="B9" s="31" t="n">
        <f aca="false">B7*B8</f>
        <v>4400</v>
      </c>
      <c r="C9" s="3" t="s">
        <v>80</v>
      </c>
      <c r="D9" s="5" t="s">
        <v>224</v>
      </c>
    </row>
    <row r="11" customFormat="false" ht="15" hidden="false" customHeight="false" outlineLevel="0" collapsed="false">
      <c r="A11" s="5" t="s">
        <v>225</v>
      </c>
      <c r="B11" s="31" t="n">
        <f aca="false">B9*Assumptions!$C$19</f>
        <v>2200</v>
      </c>
      <c r="C11" s="3" t="s">
        <v>80</v>
      </c>
      <c r="D11" s="5" t="s">
        <v>226</v>
      </c>
    </row>
    <row r="12" customFormat="false" ht="15" hidden="false" customHeight="false" outlineLevel="0" collapsed="false">
      <c r="A12" s="5" t="s">
        <v>227</v>
      </c>
      <c r="B12" s="31" t="n">
        <f aca="false">B9-B11</f>
        <v>2200</v>
      </c>
      <c r="C12" s="3" t="s">
        <v>80</v>
      </c>
      <c r="D12" s="5" t="s">
        <v>228</v>
      </c>
    </row>
    <row r="13" customFormat="false" ht="15" hidden="false" customHeight="false" outlineLevel="0" collapsed="false">
      <c r="A13" s="5" t="s">
        <v>229</v>
      </c>
      <c r="B13" s="31" t="n">
        <f aca="false">B11/Assumptions!$C$20</f>
        <v>1100</v>
      </c>
      <c r="C13" s="3" t="s">
        <v>230</v>
      </c>
      <c r="D13" s="5" t="s">
        <v>231</v>
      </c>
    </row>
    <row r="15" customFormat="false" ht="15" hidden="false" customHeight="false" outlineLevel="0" collapsed="false">
      <c r="A15" s="5" t="s">
        <v>232</v>
      </c>
      <c r="B15" s="20" t="n">
        <f aca="false">B11*Assumptions!$C$21*365/1000000</f>
        <v>64.24</v>
      </c>
      <c r="C15" s="3" t="s">
        <v>233</v>
      </c>
      <c r="D15" s="5" t="s">
        <v>234</v>
      </c>
    </row>
    <row r="16" customFormat="false" ht="15" hidden="false" customHeight="false" outlineLevel="0" collapsed="false">
      <c r="A16" s="5" t="s">
        <v>235</v>
      </c>
      <c r="B16" s="20" t="n">
        <f aca="false">B12*Assumptions!$C$22*365/1000000</f>
        <v>20.075</v>
      </c>
      <c r="C16" s="3" t="s">
        <v>233</v>
      </c>
      <c r="D16" s="5" t="s">
        <v>236</v>
      </c>
    </row>
    <row r="17" customFormat="false" ht="15" hidden="false" customHeight="false" outlineLevel="0" collapsed="false">
      <c r="A17" s="21" t="s">
        <v>237</v>
      </c>
      <c r="B17" s="23" t="n">
        <f aca="false">B15+B16</f>
        <v>84.315</v>
      </c>
      <c r="C17" s="22" t="s">
        <v>233</v>
      </c>
      <c r="D17" s="21" t="s">
        <v>238</v>
      </c>
    </row>
    <row r="19" customFormat="false" ht="35.05" hidden="false" customHeight="false" outlineLevel="0" collapsed="false">
      <c r="A19" s="5" t="s">
        <v>239</v>
      </c>
      <c r="B19" s="36" t="n">
        <f aca="false">B17/1000/'1. Top-down funnel'!C11</f>
        <v>0.0649489181823954</v>
      </c>
      <c r="C19" s="3" t="s">
        <v>240</v>
      </c>
      <c r="D19" s="5" t="s">
        <v>241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2"/>
    <col collapsed="false" customWidth="true" hidden="false" outlineLevel="0" max="2" min="2" style="0" width="17"/>
    <col collapsed="false" customWidth="true" hidden="false" outlineLevel="0" max="3" min="3" style="0" width="15"/>
    <col collapsed="false" customWidth="true" hidden="false" outlineLevel="0" max="4" min="4" style="0" width="14"/>
    <col collapsed="false" customWidth="true" hidden="false" outlineLevel="0" max="5" min="5" style="0" width="104"/>
  </cols>
  <sheetData>
    <row r="1" customFormat="false" ht="15" hidden="false" customHeight="false" outlineLevel="0" collapsed="false">
      <c r="A1" s="1" t="s">
        <v>242</v>
      </c>
    </row>
    <row r="2" customFormat="false" ht="42" hidden="false" customHeight="true" outlineLevel="0" collapsed="false">
      <c r="A2" s="19" t="s">
        <v>243</v>
      </c>
    </row>
    <row r="4" customFormat="false" ht="23.85" hidden="false" customHeight="false" outlineLevel="0" collapsed="false">
      <c r="A4" s="6" t="s">
        <v>216</v>
      </c>
      <c r="B4" s="6" t="s">
        <v>244</v>
      </c>
      <c r="C4" s="6" t="s">
        <v>245</v>
      </c>
      <c r="D4" s="6" t="s">
        <v>246</v>
      </c>
      <c r="E4" s="6" t="s">
        <v>171</v>
      </c>
    </row>
    <row r="5" customFormat="false" ht="15" hidden="false" customHeight="false" outlineLevel="0" collapsed="false">
      <c r="A5" s="7" t="s">
        <v>247</v>
      </c>
      <c r="B5" s="8"/>
      <c r="C5" s="8"/>
      <c r="D5" s="8"/>
      <c r="E5" s="8"/>
    </row>
    <row r="6" customFormat="false" ht="15" hidden="false" customHeight="false" outlineLevel="0" collapsed="false">
      <c r="A6" s="5" t="s">
        <v>248</v>
      </c>
      <c r="B6" s="20" t="n">
        <f aca="false">'2. Verdal volume'!B17</f>
        <v>84.315</v>
      </c>
      <c r="C6" s="20" t="n">
        <f aca="false">'2. Verdal volume'!B17</f>
        <v>84.315</v>
      </c>
      <c r="D6" s="20" t="n">
        <f aca="false">'2. Verdal volume'!B17</f>
        <v>84.315</v>
      </c>
      <c r="E6" s="5" t="s">
        <v>249</v>
      </c>
    </row>
    <row r="7" customFormat="false" ht="15" hidden="false" customHeight="false" outlineLevel="0" collapsed="false">
      <c r="A7" s="5" t="s">
        <v>250</v>
      </c>
      <c r="B7" s="20" t="n">
        <f aca="false">'2. Verdal volume'!B15*Assumptions!$C$24+'2. Verdal volume'!B16*Assumptions!$C$25</f>
        <v>47.57775</v>
      </c>
      <c r="C7" s="20" t="n">
        <f aca="false">B7</f>
        <v>47.57775</v>
      </c>
      <c r="D7" s="20" t="n">
        <f aca="false">B7</f>
        <v>47.57775</v>
      </c>
      <c r="E7" s="5" t="s">
        <v>251</v>
      </c>
    </row>
    <row r="9" customFormat="false" ht="15" hidden="false" customHeight="false" outlineLevel="0" collapsed="false">
      <c r="A9" s="7" t="s">
        <v>252</v>
      </c>
      <c r="B9" s="8"/>
      <c r="C9" s="8"/>
      <c r="D9" s="8"/>
      <c r="E9" s="8"/>
    </row>
    <row r="10" customFormat="false" ht="23.85" hidden="false" customHeight="false" outlineLevel="0" collapsed="false">
      <c r="A10" s="5" t="s">
        <v>253</v>
      </c>
      <c r="B10" s="20" t="n">
        <f aca="false">'2. Verdal volume'!B9*Assumptions!$C$40/1000000</f>
        <v>6.6</v>
      </c>
      <c r="C10" s="20" t="s">
        <v>254</v>
      </c>
      <c r="D10" s="20" t="s">
        <v>254</v>
      </c>
      <c r="E10" s="5" t="s">
        <v>255</v>
      </c>
    </row>
    <row r="11" customFormat="false" ht="15" hidden="false" customHeight="false" outlineLevel="0" collapsed="false">
      <c r="A11" s="5" t="s">
        <v>245</v>
      </c>
      <c r="B11" s="20" t="s">
        <v>254</v>
      </c>
      <c r="C11" s="20" t="n">
        <f aca="false">C7*Assumptions!$C$45</f>
        <v>7.1366625</v>
      </c>
      <c r="D11" s="20" t="s">
        <v>254</v>
      </c>
      <c r="E11" s="5" t="s">
        <v>256</v>
      </c>
    </row>
    <row r="12" customFormat="false" ht="15" hidden="false" customHeight="false" outlineLevel="0" collapsed="false">
      <c r="A12" s="5" t="s">
        <v>257</v>
      </c>
      <c r="B12" s="20" t="s">
        <v>254</v>
      </c>
      <c r="C12" s="20" t="s">
        <v>254</v>
      </c>
      <c r="D12" s="20" t="n">
        <f aca="false">D7</f>
        <v>47.57775</v>
      </c>
      <c r="E12" s="5" t="s">
        <v>258</v>
      </c>
    </row>
    <row r="14" customFormat="false" ht="15" hidden="false" customHeight="false" outlineLevel="0" collapsed="false">
      <c r="A14" s="7" t="s">
        <v>259</v>
      </c>
      <c r="B14" s="8"/>
      <c r="C14" s="8"/>
      <c r="D14" s="8"/>
      <c r="E14" s="8"/>
    </row>
    <row r="15" customFormat="false" ht="23.85" hidden="false" customHeight="false" outlineLevel="0" collapsed="false">
      <c r="A15" s="5" t="s">
        <v>260</v>
      </c>
      <c r="B15" s="20" t="s">
        <v>254</v>
      </c>
      <c r="C15" s="20" t="s">
        <v>254</v>
      </c>
      <c r="D15" s="20" t="n">
        <f aca="false">-'2. Verdal volume'!B17*Assumptions!$C$27</f>
        <v>-15.68259</v>
      </c>
      <c r="E15" s="5" t="s">
        <v>261</v>
      </c>
    </row>
    <row r="16" customFormat="false" ht="23.85" hidden="false" customHeight="false" outlineLevel="0" collapsed="false">
      <c r="A16" s="5" t="s">
        <v>262</v>
      </c>
      <c r="B16" s="20" t="s">
        <v>254</v>
      </c>
      <c r="C16" s="20" t="s">
        <v>254</v>
      </c>
      <c r="D16" s="20" t="n">
        <f aca="false">-'2. Verdal volume'!B17*Assumptions!$C$28</f>
        <v>-0.84315</v>
      </c>
      <c r="E16" s="5" t="s">
        <v>263</v>
      </c>
    </row>
    <row r="17" customFormat="false" ht="15" hidden="false" customHeight="false" outlineLevel="0" collapsed="false">
      <c r="A17" s="5" t="s">
        <v>264</v>
      </c>
      <c r="B17" s="20" t="s">
        <v>254</v>
      </c>
      <c r="C17" s="20" t="s">
        <v>254</v>
      </c>
      <c r="D17" s="20" t="n">
        <f aca="false">-D7*Assumptions!$C$29</f>
        <v>-2.3788875</v>
      </c>
      <c r="E17" s="5" t="s">
        <v>265</v>
      </c>
    </row>
    <row r="18" customFormat="false" ht="15" hidden="false" customHeight="false" outlineLevel="0" collapsed="false">
      <c r="A18" s="5" t="s">
        <v>266</v>
      </c>
      <c r="B18" s="20" t="s">
        <v>254</v>
      </c>
      <c r="C18" s="20" t="s">
        <v>254</v>
      </c>
      <c r="D18" s="20" t="n">
        <f aca="false">-('2. Verdal volume'!B13*Assumptions!$C$31+'2. Verdal volume'!B12*Assumptions!$C$32)/1000000</f>
        <v>-24.2</v>
      </c>
      <c r="E18" s="5" t="s">
        <v>267</v>
      </c>
    </row>
    <row r="19" customFormat="false" ht="15" hidden="false" customHeight="false" outlineLevel="0" collapsed="false">
      <c r="A19" s="5" t="s">
        <v>268</v>
      </c>
      <c r="B19" s="20" t="s">
        <v>254</v>
      </c>
      <c r="C19" s="20" t="s">
        <v>254</v>
      </c>
      <c r="D19" s="20" t="n">
        <f aca="false">-('2. Verdal volume'!B13*Assumptions!$C$33/Assumptions!$C$36+'2. Verdal volume'!B12*Assumptions!$C$34/Assumptions!$C$37)/1000000</f>
        <v>-17.82</v>
      </c>
      <c r="E19" s="5" t="s">
        <v>269</v>
      </c>
    </row>
    <row r="20" customFormat="false" ht="23.85" hidden="false" customHeight="false" outlineLevel="0" collapsed="false">
      <c r="A20" s="5" t="s">
        <v>270</v>
      </c>
      <c r="B20" s="20" t="s">
        <v>254</v>
      </c>
      <c r="C20" s="20" t="s">
        <v>254</v>
      </c>
      <c r="D20" s="20" t="n">
        <f aca="false">-('2. Verdal volume'!B7*Assumptions!$C$35/Assumptions!$C$38)/1000000</f>
        <v>-4.4</v>
      </c>
      <c r="E20" s="5" t="s">
        <v>271</v>
      </c>
    </row>
    <row r="22" customFormat="false" ht="15" hidden="false" customHeight="false" outlineLevel="0" collapsed="false">
      <c r="A22" s="37" t="s">
        <v>272</v>
      </c>
      <c r="B22" s="38" t="n">
        <f aca="false">B10</f>
        <v>6.6</v>
      </c>
      <c r="C22" s="38" t="n">
        <f aca="false">C11</f>
        <v>7.1366625</v>
      </c>
      <c r="D22" s="38" t="n">
        <f aca="false">D12+SUM(D15:D20)</f>
        <v>-17.7468775</v>
      </c>
      <c r="E22" s="5" t="s">
        <v>273</v>
      </c>
    </row>
    <row r="23" customFormat="false" ht="15" hidden="false" customHeight="false" outlineLevel="0" collapsed="false">
      <c r="A23" s="21" t="s">
        <v>274</v>
      </c>
      <c r="B23" s="39" t="n">
        <f aca="false">B22/'2. Verdal volume'!B17</f>
        <v>0.0782778864970646</v>
      </c>
      <c r="C23" s="39" t="n">
        <f aca="false">C22/'2. Verdal volume'!B17</f>
        <v>0.0846428571428571</v>
      </c>
      <c r="D23" s="39" t="n">
        <f aca="false">D22/'2. Verdal volume'!B17</f>
        <v>-0.210483039791259</v>
      </c>
      <c r="E23" s="21" t="s">
        <v>275</v>
      </c>
    </row>
    <row r="25" customFormat="false" ht="15" hidden="false" customHeight="false" outlineLevel="0" collapsed="false">
      <c r="A25" s="7" t="s">
        <v>276</v>
      </c>
      <c r="B25" s="8"/>
      <c r="C25" s="8"/>
      <c r="D25" s="8"/>
      <c r="E25" s="8"/>
    </row>
    <row r="26" customFormat="false" ht="23.85" hidden="false" customHeight="false" outlineLevel="0" collapsed="false">
      <c r="A26" s="40" t="s">
        <v>277</v>
      </c>
      <c r="B26" s="41" t="s">
        <v>254</v>
      </c>
      <c r="C26" s="41" t="n">
        <f aca="false">C7-C11</f>
        <v>40.4410875</v>
      </c>
      <c r="D26" s="41" t="s">
        <v>254</v>
      </c>
      <c r="E26" s="42" t="s">
        <v>278</v>
      </c>
    </row>
    <row r="27" customFormat="false" ht="23.85" hidden="false" customHeight="false" outlineLevel="0" collapsed="false">
      <c r="A27" s="37" t="s">
        <v>279</v>
      </c>
      <c r="B27" s="20" t="s">
        <v>254</v>
      </c>
      <c r="C27" s="20" t="s">
        <v>254</v>
      </c>
      <c r="D27" s="20" t="n">
        <f aca="false">-SUM(D15:D20)</f>
        <v>65.3246275</v>
      </c>
      <c r="E27" s="5" t="s">
        <v>280</v>
      </c>
    </row>
    <row r="29" customFormat="false" ht="15" hidden="false" customHeight="false" outlineLevel="0" collapsed="false">
      <c r="A29" s="43" t="s">
        <v>281</v>
      </c>
      <c r="B29" s="44"/>
      <c r="C29" s="44"/>
      <c r="D29" s="44" t="n">
        <f aca="false">MAX(B22:D22)</f>
        <v>7.1366625</v>
      </c>
      <c r="E29" s="21" t="s">
        <v>282</v>
      </c>
    </row>
    <row r="30" customFormat="false" ht="23.85" hidden="false" customHeight="false" outlineLevel="0" collapsed="false">
      <c r="A30" s="37" t="s">
        <v>283</v>
      </c>
      <c r="B30" s="38"/>
      <c r="C30" s="38"/>
      <c r="D30" s="38" t="n">
        <f aca="false">D29-B22</f>
        <v>0.536662499999999</v>
      </c>
      <c r="E30" s="5" t="s">
        <v>284</v>
      </c>
    </row>
    <row r="32" customFormat="false" ht="15" hidden="false" customHeight="false" outlineLevel="0" collapsed="false">
      <c r="A32" s="7" t="s">
        <v>285</v>
      </c>
      <c r="B32" s="8"/>
      <c r="C32" s="8"/>
      <c r="D32" s="8"/>
      <c r="E32" s="8"/>
    </row>
    <row r="33" customFormat="false" ht="15" hidden="false" customHeight="false" outlineLevel="0" collapsed="false">
      <c r="A33" s="5" t="s">
        <v>286</v>
      </c>
      <c r="B33" s="20" t="n">
        <f aca="false">'2. Verdal volume'!B9*Assumptions!$C$41*Assumptions!$C$44/1000000</f>
        <v>15.43476</v>
      </c>
      <c r="C33" s="20"/>
      <c r="D33" s="20"/>
      <c r="E33" s="5" t="s">
        <v>287</v>
      </c>
    </row>
    <row r="34" customFormat="false" ht="15" hidden="false" customHeight="false" outlineLevel="0" collapsed="false">
      <c r="A34" s="5" t="s">
        <v>288</v>
      </c>
      <c r="B34" s="20" t="n">
        <f aca="false">'2. Verdal volume'!B9*Assumptions!$C$42*Assumptions!$C$44/1000000</f>
        <v>25.7246</v>
      </c>
      <c r="C34" s="20"/>
      <c r="D34" s="20"/>
      <c r="E34" s="5" t="s">
        <v>289</v>
      </c>
    </row>
    <row r="35" customFormat="false" ht="15" hidden="false" customHeight="false" outlineLevel="0" collapsed="false">
      <c r="A35" s="5" t="s">
        <v>290</v>
      </c>
      <c r="B35" s="20" t="n">
        <f aca="false">'2. Verdal volume'!B9*Assumptions!$C$43*Assumptions!$C$44/1000000</f>
        <v>51.4492</v>
      </c>
      <c r="C35" s="20"/>
      <c r="D35" s="20"/>
      <c r="E35" s="5" t="s">
        <v>291</v>
      </c>
    </row>
    <row r="36" customFormat="false" ht="23.85" hidden="false" customHeight="false" outlineLevel="0" collapsed="false">
      <c r="A36" s="40" t="s">
        <v>292</v>
      </c>
      <c r="B36" s="45" t="n">
        <f aca="false">MAX(C22,D22)-B33</f>
        <v>-8.2980975</v>
      </c>
      <c r="C36" s="45"/>
      <c r="D36" s="45"/>
      <c r="E36" s="42" t="s">
        <v>293</v>
      </c>
    </row>
    <row r="38" customFormat="false" ht="42" hidden="false" customHeight="true" outlineLevel="0" collapsed="false">
      <c r="A38" s="30" t="s">
        <v>294</v>
      </c>
      <c r="B38" s="30"/>
      <c r="C38" s="30"/>
      <c r="D38" s="30"/>
      <c r="E38" s="30"/>
    </row>
  </sheetData>
  <mergeCells count="1">
    <mergeCell ref="A38:E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2" min="2" style="0" width="72"/>
    <col collapsed="false" customWidth="true" hidden="false" outlineLevel="0" max="3" min="3" style="0" width="20"/>
    <col collapsed="false" customWidth="true" hidden="false" outlineLevel="0" max="4" min="4" style="0" width="26"/>
    <col collapsed="false" customWidth="true" hidden="false" outlineLevel="0" max="5" min="5" style="0" width="20"/>
    <col collapsed="false" customWidth="true" hidden="false" outlineLevel="0" max="6" min="6" style="0" width="86"/>
  </cols>
  <sheetData>
    <row r="1" customFormat="false" ht="15" hidden="false" customHeight="false" outlineLevel="0" collapsed="false">
      <c r="A1" s="1" t="s">
        <v>295</v>
      </c>
    </row>
    <row r="2" customFormat="false" ht="31.5" hidden="false" customHeight="true" outlineLevel="0" collapsed="false">
      <c r="A2" s="19" t="s">
        <v>296</v>
      </c>
    </row>
    <row r="4" customFormat="false" ht="23.85" hidden="false" customHeight="false" outlineLevel="0" collapsed="false">
      <c r="A4" s="6" t="s">
        <v>297</v>
      </c>
      <c r="B4" s="6" t="s">
        <v>298</v>
      </c>
      <c r="C4" s="6" t="s">
        <v>37</v>
      </c>
      <c r="D4" s="6" t="s">
        <v>299</v>
      </c>
      <c r="E4" s="6" t="s">
        <v>300</v>
      </c>
      <c r="F4" s="6" t="s">
        <v>301</v>
      </c>
    </row>
    <row r="5" customFormat="false" ht="35.05" hidden="false" customHeight="false" outlineLevel="0" collapsed="false">
      <c r="A5" s="5" t="s">
        <v>302</v>
      </c>
      <c r="B5" s="5" t="s">
        <v>303</v>
      </c>
      <c r="C5" s="20" t="n">
        <f aca="false">Assumptions!$C$52</f>
        <v>25000</v>
      </c>
      <c r="D5" s="5" t="s">
        <v>304</v>
      </c>
      <c r="E5" s="46" t="s">
        <v>197</v>
      </c>
      <c r="F5" s="5" t="s">
        <v>305</v>
      </c>
    </row>
    <row r="6" customFormat="false" ht="23.85" hidden="false" customHeight="false" outlineLevel="0" collapsed="false">
      <c r="A6" s="5" t="s">
        <v>306</v>
      </c>
      <c r="B6" s="5" t="s">
        <v>307</v>
      </c>
      <c r="C6" s="20" t="n">
        <f aca="false">'1. Top-down funnel'!C16</f>
        <v>19151.6904939693</v>
      </c>
      <c r="D6" s="5" t="s">
        <v>202</v>
      </c>
      <c r="E6" s="46" t="n">
        <f aca="false">C6/$C$6</f>
        <v>1</v>
      </c>
      <c r="F6" s="5" t="s">
        <v>308</v>
      </c>
    </row>
    <row r="7" customFormat="false" ht="23.85" hidden="false" customHeight="false" outlineLevel="0" collapsed="false">
      <c r="A7" s="5" t="s">
        <v>309</v>
      </c>
      <c r="B7" s="5" t="s">
        <v>310</v>
      </c>
      <c r="C7" s="20" t="n">
        <f aca="false">'1. Top-down funnel'!C18</f>
        <v>732.541069681683</v>
      </c>
      <c r="D7" s="5" t="s">
        <v>202</v>
      </c>
      <c r="E7" s="46" t="n">
        <f aca="false">C7/$C$6</f>
        <v>0.0382494208494208</v>
      </c>
      <c r="F7" s="5" t="s">
        <v>311</v>
      </c>
    </row>
    <row r="8" customFormat="false" ht="35.05" hidden="false" customHeight="false" outlineLevel="0" collapsed="false">
      <c r="A8" s="21" t="s">
        <v>312</v>
      </c>
      <c r="B8" s="21" t="s">
        <v>313</v>
      </c>
      <c r="C8" s="23" t="n">
        <f aca="false">'3. Margin stacks'!D29</f>
        <v>7.1366625</v>
      </c>
      <c r="D8" s="21" t="s">
        <v>202</v>
      </c>
      <c r="E8" s="47" t="n">
        <f aca="false">C8/$C$6</f>
        <v>0.000372638775790956</v>
      </c>
      <c r="F8" s="21" t="s">
        <v>314</v>
      </c>
    </row>
    <row r="9" customFormat="false" ht="35.05" hidden="false" customHeight="false" outlineLevel="0" collapsed="false">
      <c r="A9" s="21" t="s">
        <v>315</v>
      </c>
      <c r="B9" s="21" t="s">
        <v>316</v>
      </c>
      <c r="C9" s="23" t="n">
        <f aca="false">C8</f>
        <v>7.1366625</v>
      </c>
      <c r="D9" s="21" t="s">
        <v>202</v>
      </c>
      <c r="E9" s="47" t="n">
        <f aca="false">C8/C7</f>
        <v>0.00974233772735931</v>
      </c>
      <c r="F9" s="21" t="s">
        <v>317</v>
      </c>
    </row>
    <row r="11" customFormat="false" ht="15" hidden="false" customHeight="false" outlineLevel="0" collapsed="false">
      <c r="A11" s="4" t="s">
        <v>318</v>
      </c>
    </row>
    <row r="12" customFormat="false" ht="23.85" hidden="false" customHeight="false" outlineLevel="0" collapsed="false">
      <c r="A12" s="6" t="s">
        <v>319</v>
      </c>
      <c r="B12" s="6" t="s">
        <v>320</v>
      </c>
      <c r="C12" s="6" t="s">
        <v>297</v>
      </c>
      <c r="D12" s="6" t="s">
        <v>321</v>
      </c>
      <c r="E12" s="6" t="s">
        <v>322</v>
      </c>
    </row>
    <row r="13" customFormat="false" ht="124.6" hidden="false" customHeight="false" outlineLevel="0" collapsed="false">
      <c r="A13" s="5" t="s">
        <v>323</v>
      </c>
      <c r="B13" s="5" t="s">
        <v>324</v>
      </c>
      <c r="C13" s="5" t="s">
        <v>325</v>
      </c>
      <c r="D13" s="5" t="s">
        <v>326</v>
      </c>
      <c r="E13" s="5" t="s">
        <v>327</v>
      </c>
    </row>
    <row r="14" customFormat="false" ht="124.6" hidden="false" customHeight="false" outlineLevel="0" collapsed="false">
      <c r="A14" s="5" t="s">
        <v>328</v>
      </c>
      <c r="B14" s="5" t="s">
        <v>329</v>
      </c>
      <c r="C14" s="5" t="s">
        <v>330</v>
      </c>
      <c r="D14" s="5" t="s">
        <v>331</v>
      </c>
      <c r="E14" s="5" t="s">
        <v>332</v>
      </c>
    </row>
    <row r="15" customFormat="false" ht="191.75" hidden="false" customHeight="false" outlineLevel="0" collapsed="false">
      <c r="A15" s="5" t="s">
        <v>333</v>
      </c>
      <c r="B15" s="5" t="s">
        <v>334</v>
      </c>
      <c r="C15" s="5" t="s">
        <v>335</v>
      </c>
      <c r="D15" s="5" t="s">
        <v>336</v>
      </c>
      <c r="E15" s="5" t="s">
        <v>337</v>
      </c>
    </row>
    <row r="16" customFormat="false" ht="102.2" hidden="false" customHeight="false" outlineLevel="0" collapsed="false">
      <c r="A16" s="5" t="s">
        <v>338</v>
      </c>
      <c r="B16" s="5" t="s">
        <v>339</v>
      </c>
      <c r="C16" s="5" t="s">
        <v>340</v>
      </c>
      <c r="D16" s="5" t="s">
        <v>341</v>
      </c>
      <c r="E16" s="5" t="s">
        <v>342</v>
      </c>
    </row>
    <row r="18" customFormat="false" ht="15" hidden="false" customHeight="false" outlineLevel="0" collapsed="false">
      <c r="A18" s="4" t="s">
        <v>343</v>
      </c>
    </row>
    <row r="19" customFormat="false" ht="42" hidden="false" customHeight="true" outlineLevel="0" collapsed="false">
      <c r="A19" s="30" t="s">
        <v>344</v>
      </c>
      <c r="B19" s="30"/>
      <c r="C19" s="30"/>
      <c r="D19" s="30"/>
      <c r="E19" s="30"/>
      <c r="F19" s="30"/>
    </row>
    <row r="21" customFormat="false" ht="31.5" hidden="false" customHeight="true" outlineLevel="0" collapsed="false">
      <c r="A21" s="30" t="s">
        <v>345</v>
      </c>
      <c r="B21" s="30"/>
      <c r="C21" s="30"/>
      <c r="D21" s="30"/>
      <c r="E21" s="30"/>
      <c r="F21" s="30"/>
    </row>
  </sheetData>
  <mergeCells count="2">
    <mergeCell ref="A19:F19"/>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4"/>
    <col collapsed="false" customWidth="true" hidden="false" outlineLevel="0" max="4" min="2" style="0" width="16"/>
    <col collapsed="false" customWidth="true" hidden="false" outlineLevel="0" max="5" min="5" style="0" width="40"/>
    <col collapsed="false" customWidth="true" hidden="false" outlineLevel="0" max="6" min="6" style="0" width="90"/>
  </cols>
  <sheetData>
    <row r="1" customFormat="false" ht="15" hidden="false" customHeight="false" outlineLevel="0" collapsed="false">
      <c r="A1" s="1" t="s">
        <v>346</v>
      </c>
    </row>
    <row r="2" customFormat="false" ht="42" hidden="false" customHeight="true" outlineLevel="0" collapsed="false">
      <c r="A2" s="19" t="s">
        <v>347</v>
      </c>
    </row>
    <row r="4" customFormat="false" ht="15" hidden="false" customHeight="false" outlineLevel="0" collapsed="false">
      <c r="A4" s="4" t="s">
        <v>348</v>
      </c>
    </row>
    <row r="5" customFormat="false" ht="15" hidden="false" customHeight="false" outlineLevel="0" collapsed="false">
      <c r="A5" s="6" t="s">
        <v>216</v>
      </c>
      <c r="B5" s="6" t="s">
        <v>37</v>
      </c>
      <c r="C5" s="6" t="s">
        <v>169</v>
      </c>
      <c r="D5" s="6" t="s">
        <v>171</v>
      </c>
    </row>
    <row r="6" customFormat="false" ht="68.65" hidden="false" customHeight="false" outlineLevel="0" collapsed="false">
      <c r="A6" s="5" t="s">
        <v>349</v>
      </c>
      <c r="B6" s="48" t="n">
        <f aca="false">Assumptions!$C$24*(1-Assumptions!$C$29)-Assumptions!$C$27-Assumptions!$C$28</f>
        <v>0.374</v>
      </c>
      <c r="C6" s="3" t="s">
        <v>198</v>
      </c>
      <c r="D6" s="5" t="s">
        <v>350</v>
      </c>
    </row>
    <row r="7" customFormat="false" ht="68.65" hidden="false" customHeight="false" outlineLevel="0" collapsed="false">
      <c r="A7" s="5" t="s">
        <v>351</v>
      </c>
      <c r="B7" s="20" t="n">
        <f aca="false">('2. Verdal volume'!B13*(Assumptions!$C$31+Assumptions!$C$33/Assumptions!$C$36)+'2. Verdal volume'!B7*Assumptions!$C$35/Assumptions!$C$38)/1000000</f>
        <v>41.8</v>
      </c>
      <c r="C7" s="3" t="s">
        <v>352</v>
      </c>
      <c r="D7" s="5" t="s">
        <v>353</v>
      </c>
    </row>
    <row r="8" customFormat="false" ht="91" hidden="false" customHeight="false" outlineLevel="0" collapsed="false">
      <c r="A8" s="5" t="s">
        <v>354</v>
      </c>
      <c r="B8" s="20" t="n">
        <f aca="false">'2. Verdal volume'!B16*Assumptions!$C$25*(1-Assumptions!$C$29)-'2. Verdal volume'!B16*(Assumptions!$C$27+Assumptions!$C$28)-('2. Verdal volume'!B12*(Assumptions!$C$32+Assumptions!$C$34/Assumptions!$C$37))/1000000</f>
        <v>0.0273624999999997</v>
      </c>
      <c r="C8" s="3" t="s">
        <v>352</v>
      </c>
      <c r="D8" s="5" t="s">
        <v>355</v>
      </c>
    </row>
    <row r="9" customFormat="false" ht="68.65" hidden="false" customHeight="false" outlineLevel="0" collapsed="false">
      <c r="A9" s="5" t="s">
        <v>356</v>
      </c>
      <c r="B9" s="20" t="n">
        <f aca="false">(B7-B8)/B6</f>
        <v>111.691544117647</v>
      </c>
      <c r="C9" s="3" t="s">
        <v>233</v>
      </c>
      <c r="D9" s="5" t="s">
        <v>357</v>
      </c>
    </row>
    <row r="10" customFormat="false" ht="68.65" hidden="false" customHeight="false" outlineLevel="0" collapsed="false">
      <c r="A10" s="43" t="s">
        <v>358</v>
      </c>
      <c r="B10" s="44" t="n">
        <f aca="false">B9*1000000/'2. Verdal volume'!B11/365</f>
        <v>139.092832026958</v>
      </c>
      <c r="C10" s="22" t="s">
        <v>359</v>
      </c>
      <c r="D10" s="21" t="s">
        <v>360</v>
      </c>
    </row>
    <row r="11" customFormat="false" ht="68.65" hidden="false" customHeight="false" outlineLevel="0" collapsed="false">
      <c r="A11" s="5" t="s">
        <v>361</v>
      </c>
      <c r="B11" s="20" t="n">
        <f aca="false">B7/B6</f>
        <v>111.764705882353</v>
      </c>
      <c r="C11" s="3" t="s">
        <v>233</v>
      </c>
      <c r="D11" s="5" t="s">
        <v>362</v>
      </c>
    </row>
    <row r="12" customFormat="false" ht="15" hidden="false" customHeight="false" outlineLevel="0" collapsed="false">
      <c r="A12" s="5" t="s">
        <v>363</v>
      </c>
      <c r="B12" s="20" t="n">
        <f aca="false">B11*1000000/'2. Verdal volume'!B11/365</f>
        <v>139.18394256831</v>
      </c>
      <c r="C12" s="3" t="s">
        <v>359</v>
      </c>
      <c r="D12" s="5" t="s">
        <v>364</v>
      </c>
    </row>
    <row r="13" customFormat="false" ht="35.05" hidden="false" customHeight="false" outlineLevel="0" collapsed="false">
      <c r="A13" s="5" t="s">
        <v>365</v>
      </c>
      <c r="B13" s="20" t="n">
        <f aca="false">Assumptions!$C$21</f>
        <v>80</v>
      </c>
      <c r="C13" s="3" t="s">
        <v>359</v>
      </c>
      <c r="D13" s="5" t="s">
        <v>366</v>
      </c>
    </row>
    <row r="14" customFormat="false" ht="46.25" hidden="false" customHeight="false" outlineLevel="0" collapsed="false">
      <c r="A14" s="5" t="s">
        <v>367</v>
      </c>
      <c r="B14" s="36" t="n">
        <f aca="false">B10/B13-1</f>
        <v>0.738660400336971</v>
      </c>
      <c r="C14" s="3" t="s">
        <v>368</v>
      </c>
      <c r="D14" s="5" t="s">
        <v>369</v>
      </c>
    </row>
    <row r="16" customFormat="false" ht="15" hidden="false" customHeight="false" outlineLevel="0" collapsed="false">
      <c r="A16" s="4" t="s">
        <v>370</v>
      </c>
    </row>
    <row r="17" customFormat="false" ht="158.2" hidden="false" customHeight="false" outlineLevel="0" collapsed="false">
      <c r="A17" s="49" t="s">
        <v>371</v>
      </c>
      <c r="B17" s="50" t="n">
        <v>1235</v>
      </c>
      <c r="C17" s="49" t="s">
        <v>372</v>
      </c>
      <c r="D17" s="49" t="s">
        <v>373</v>
      </c>
    </row>
    <row r="18" customFormat="false" ht="180.55" hidden="false" customHeight="false" outlineLevel="0" collapsed="false">
      <c r="A18" s="49" t="s">
        <v>374</v>
      </c>
      <c r="B18" s="50" t="n">
        <v>252</v>
      </c>
      <c r="C18" s="49" t="s">
        <v>375</v>
      </c>
      <c r="D18" s="49" t="s">
        <v>376</v>
      </c>
    </row>
    <row r="19" customFormat="false" ht="102.2" hidden="false" customHeight="false" outlineLevel="0" collapsed="false">
      <c r="A19" s="49" t="s">
        <v>377</v>
      </c>
      <c r="B19" s="50" t="n">
        <v>5738</v>
      </c>
      <c r="C19" s="49" t="s">
        <v>378</v>
      </c>
      <c r="D19" s="49" t="s">
        <v>379</v>
      </c>
    </row>
    <row r="20" customFormat="false" ht="68.65" hidden="false" customHeight="false" outlineLevel="0" collapsed="false">
      <c r="A20" s="49" t="s">
        <v>380</v>
      </c>
      <c r="B20" s="50" t="s">
        <v>381</v>
      </c>
      <c r="C20" s="49" t="s">
        <v>382</v>
      </c>
      <c r="D20" s="49" t="s">
        <v>383</v>
      </c>
    </row>
    <row r="23" customFormat="false" ht="15" hidden="false" customHeight="false" outlineLevel="0" collapsed="false">
      <c r="A23" s="4" t="s">
        <v>384</v>
      </c>
    </row>
    <row r="24" customFormat="false" ht="43.25" hidden="false" customHeight="false" outlineLevel="0" collapsed="false">
      <c r="A24" s="19" t="s">
        <v>385</v>
      </c>
    </row>
    <row r="26" customFormat="false" ht="23.85" hidden="false" customHeight="false" outlineLevel="0" collapsed="false">
      <c r="A26" s="6" t="s">
        <v>386</v>
      </c>
      <c r="B26" s="51" t="n">
        <v>40</v>
      </c>
      <c r="C26" s="51" t="n">
        <v>60</v>
      </c>
      <c r="D26" s="51" t="n">
        <v>80</v>
      </c>
      <c r="E26" s="51" t="n">
        <v>100</v>
      </c>
      <c r="F26" s="51" t="n">
        <v>120</v>
      </c>
      <c r="G26" s="51" t="n">
        <v>140</v>
      </c>
      <c r="H26" s="51" t="n">
        <v>160</v>
      </c>
    </row>
    <row r="27" customFormat="false" ht="15" hidden="false" customHeight="false" outlineLevel="0" collapsed="false">
      <c r="A27" s="51" t="n">
        <v>2</v>
      </c>
      <c r="B27" s="52" t="n">
        <f aca="false">((((Assumptions!$C$16*Assumptions!$C$17)*2*Assumptions!$C$19)*40*365/1000000)*Assumptions!$C$24+(((Assumptions!$C$16*Assumptions!$C$17)*2*(1-Assumptions!$C$19))*Assumptions!$C$22*365/1000000)*Assumptions!$C$25)*(1-Assumptions!$C$29)-((((Assumptions!$C$16*Assumptions!$C$17)*2*Assumptions!$C$19)*40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-17.07987875</v>
      </c>
      <c r="C27" s="52" t="n">
        <f aca="false">((((Assumptions!$C$16*Assumptions!$C$17)*2*Assumptions!$C$19)*60*365/1000000)*Assumptions!$C$24+(((Assumptions!$C$16*Assumptions!$C$17)*2*(1-Assumptions!$C$19))*Assumptions!$C$22*365/1000000)*Assumptions!$C$25)*(1-Assumptions!$C$29)-((((Assumptions!$C$16*Assumptions!$C$17)*2*Assumptions!$C$19)*60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-14.07665875</v>
      </c>
      <c r="D27" s="52" t="n">
        <f aca="false">((((Assumptions!$C$16*Assumptions!$C$17)*2*Assumptions!$C$19)*80*365/1000000)*Assumptions!$C$24+(((Assumptions!$C$16*Assumptions!$C$17)*2*(1-Assumptions!$C$19))*Assumptions!$C$22*365/1000000)*Assumptions!$C$25)*(1-Assumptions!$C$29)-((((Assumptions!$C$16*Assumptions!$C$17)*2*Assumptions!$C$19)*80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-11.07343875</v>
      </c>
      <c r="E27" s="52" t="n">
        <f aca="false">((((Assumptions!$C$16*Assumptions!$C$17)*2*Assumptions!$C$19)*100*365/1000000)*Assumptions!$C$24+(((Assumptions!$C$16*Assumptions!$C$17)*2*(1-Assumptions!$C$19))*Assumptions!$C$22*365/1000000)*Assumptions!$C$25)*(1-Assumptions!$C$29)-((((Assumptions!$C$16*Assumptions!$C$17)*2*Assumptions!$C$19)*100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-8.07021875000001</v>
      </c>
      <c r="F27" s="52" t="n">
        <f aca="false">((((Assumptions!$C$16*Assumptions!$C$17)*2*Assumptions!$C$19)*120*365/1000000)*Assumptions!$C$24+(((Assumptions!$C$16*Assumptions!$C$17)*2*(1-Assumptions!$C$19))*Assumptions!$C$22*365/1000000)*Assumptions!$C$25)*(1-Assumptions!$C$29)-((((Assumptions!$C$16*Assumptions!$C$17)*2*Assumptions!$C$19)*120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-5.06699875</v>
      </c>
      <c r="G27" s="52" t="n">
        <f aca="false">((((Assumptions!$C$16*Assumptions!$C$17)*2*Assumptions!$C$19)*140*365/1000000)*Assumptions!$C$24+(((Assumptions!$C$16*Assumptions!$C$17)*2*(1-Assumptions!$C$19))*Assumptions!$C$22*365/1000000)*Assumptions!$C$25)*(1-Assumptions!$C$29)-((((Assumptions!$C$16*Assumptions!$C$17)*2*Assumptions!$C$19)*140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-2.06377875</v>
      </c>
      <c r="H27" s="52" t="n">
        <f aca="false">((((Assumptions!$C$16*Assumptions!$C$17)*2*Assumptions!$C$19)*160*365/1000000)*Assumptions!$C$24+(((Assumptions!$C$16*Assumptions!$C$17)*2*(1-Assumptions!$C$19))*Assumptions!$C$22*365/1000000)*Assumptions!$C$25)*(1-Assumptions!$C$29)-((((Assumptions!$C$16*Assumptions!$C$17)*2*Assumptions!$C$19)*160*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0.939441249999995</v>
      </c>
    </row>
    <row r="28" customFormat="false" ht="15" hidden="false" customHeight="false" outlineLevel="0" collapsed="false">
      <c r="A28" s="51" t="n">
        <v>3</v>
      </c>
      <c r="B28" s="52" t="n">
        <f aca="false">((((Assumptions!$C$16*Assumptions!$C$17)*3*Assumptions!$C$19)*40*365/1000000)*Assumptions!$C$24+(((Assumptions!$C$16*Assumptions!$C$17)*3*(1-Assumptions!$C$19))*Assumptions!$C$22*365/1000000)*Assumptions!$C$25)*(1-Assumptions!$C$29)-((((Assumptions!$C$16*Assumptions!$C$17)*3*Assumptions!$C$19)*40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-23.419818125</v>
      </c>
      <c r="C28" s="52" t="n">
        <f aca="false">((((Assumptions!$C$16*Assumptions!$C$17)*3*Assumptions!$C$19)*60*365/1000000)*Assumptions!$C$24+(((Assumptions!$C$16*Assumptions!$C$17)*3*(1-Assumptions!$C$19))*Assumptions!$C$22*365/1000000)*Assumptions!$C$25)*(1-Assumptions!$C$29)-((((Assumptions!$C$16*Assumptions!$C$17)*3*Assumptions!$C$19)*60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-18.914988125</v>
      </c>
      <c r="D28" s="52" t="n">
        <f aca="false">((((Assumptions!$C$16*Assumptions!$C$17)*3*Assumptions!$C$19)*80*365/1000000)*Assumptions!$C$24+(((Assumptions!$C$16*Assumptions!$C$17)*3*(1-Assumptions!$C$19))*Assumptions!$C$22*365/1000000)*Assumptions!$C$25)*(1-Assumptions!$C$29)-((((Assumptions!$C$16*Assumptions!$C$17)*3*Assumptions!$C$19)*80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-14.410158125</v>
      </c>
      <c r="E28" s="52" t="n">
        <f aca="false">((((Assumptions!$C$16*Assumptions!$C$17)*3*Assumptions!$C$19)*100*365/1000000)*Assumptions!$C$24+(((Assumptions!$C$16*Assumptions!$C$17)*3*(1-Assumptions!$C$19))*Assumptions!$C$22*365/1000000)*Assumptions!$C$25)*(1-Assumptions!$C$29)-((((Assumptions!$C$16*Assumptions!$C$17)*3*Assumptions!$C$19)*100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-9.905328125</v>
      </c>
      <c r="F28" s="52" t="n">
        <f aca="false">((((Assumptions!$C$16*Assumptions!$C$17)*3*Assumptions!$C$19)*120*365/1000000)*Assumptions!$C$24+(((Assumptions!$C$16*Assumptions!$C$17)*3*(1-Assumptions!$C$19))*Assumptions!$C$22*365/1000000)*Assumptions!$C$25)*(1-Assumptions!$C$29)-((((Assumptions!$C$16*Assumptions!$C$17)*3*Assumptions!$C$19)*120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-5.40049812500001</v>
      </c>
      <c r="G28" s="52" t="n">
        <f aca="false">((((Assumptions!$C$16*Assumptions!$C$17)*3*Assumptions!$C$19)*140*365/1000000)*Assumptions!$C$24+(((Assumptions!$C$16*Assumptions!$C$17)*3*(1-Assumptions!$C$19))*Assumptions!$C$22*365/1000000)*Assumptions!$C$25)*(1-Assumptions!$C$29)-((((Assumptions!$C$16*Assumptions!$C$17)*3*Assumptions!$C$19)*140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-0.895668125000007</v>
      </c>
      <c r="H28" s="52" t="n">
        <f aca="false">((((Assumptions!$C$16*Assumptions!$C$17)*3*Assumptions!$C$19)*160*365/1000000)*Assumptions!$C$24+(((Assumptions!$C$16*Assumptions!$C$17)*3*(1-Assumptions!$C$19))*Assumptions!$C$22*365/1000000)*Assumptions!$C$25)*(1-Assumptions!$C$29)-((((Assumptions!$C$16*Assumptions!$C$17)*3*Assumptions!$C$19)*160*365/1000000)+(((Assumptions!$C$16*Assumptions!$C$17)*3*(1-Assumptions!$C$19))*Assumptions!$C$22*365/1000000))*(Assumptions!$C$27+Assumptions!$C$28)-((((Assumptions!$C$16*Assumptions!$C$17)*3*Assumptions!$C$19)/Assumptions!$C$20)*(Assumptions!$C$31+Assumptions!$C$33/Assumptions!$C$36)+((Assumptions!$C$16*Assumptions!$C$17)*3*(1-Assumptions!$C$19))*(Assumptions!$C$32+Assumptions!$C$34/Assumptions!$C$37)+(Assumptions!$C$16*Assumptions!$C$17)*Assumptions!$C$35/Assumptions!$C$38)/1000000</f>
        <v>3.60916187499999</v>
      </c>
    </row>
    <row r="29" customFormat="false" ht="15" hidden="false" customHeight="false" outlineLevel="0" collapsed="false">
      <c r="A29" s="51" t="s">
        <v>387</v>
      </c>
      <c r="B29" s="52" t="n">
        <f aca="false">((((Assumptions!$C$16*Assumptions!$C$17)*4*Assumptions!$C$19)*40*365/1000000)*Assumptions!$C$24+(((Assumptions!$C$16*Assumptions!$C$17)*4*(1-Assumptions!$C$19))*Assumptions!$C$22*365/1000000)*Assumptions!$C$25)*(1-Assumptions!$C$29)-((((Assumptions!$C$16*Assumptions!$C$17)*4*Assumptions!$C$19)*40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-29.7597575</v>
      </c>
      <c r="C29" s="52" t="n">
        <f aca="false">((((Assumptions!$C$16*Assumptions!$C$17)*4*Assumptions!$C$19)*60*365/1000000)*Assumptions!$C$24+(((Assumptions!$C$16*Assumptions!$C$17)*4*(1-Assumptions!$C$19))*Assumptions!$C$22*365/1000000)*Assumptions!$C$25)*(1-Assumptions!$C$29)-((((Assumptions!$C$16*Assumptions!$C$17)*4*Assumptions!$C$19)*60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-23.7533175</v>
      </c>
      <c r="D29" s="52" t="n">
        <f aca="false">((((Assumptions!$C$16*Assumptions!$C$17)*4*Assumptions!$C$19)*80*365/1000000)*Assumptions!$C$24+(((Assumptions!$C$16*Assumptions!$C$17)*4*(1-Assumptions!$C$19))*Assumptions!$C$22*365/1000000)*Assumptions!$C$25)*(1-Assumptions!$C$29)-((((Assumptions!$C$16*Assumptions!$C$17)*4*Assumptions!$C$19)*80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-17.7468775</v>
      </c>
      <c r="E29" s="52" t="n">
        <f aca="false">((((Assumptions!$C$16*Assumptions!$C$17)*4*Assumptions!$C$19)*100*365/1000000)*Assumptions!$C$24+(((Assumptions!$C$16*Assumptions!$C$17)*4*(1-Assumptions!$C$19))*Assumptions!$C$22*365/1000000)*Assumptions!$C$25)*(1-Assumptions!$C$29)-((((Assumptions!$C$16*Assumptions!$C$17)*4*Assumptions!$C$19)*100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-11.7404375</v>
      </c>
      <c r="F29" s="52" t="n">
        <f aca="false">((((Assumptions!$C$16*Assumptions!$C$17)*4*Assumptions!$C$19)*120*365/1000000)*Assumptions!$C$24+(((Assumptions!$C$16*Assumptions!$C$17)*4*(1-Assumptions!$C$19))*Assumptions!$C$22*365/1000000)*Assumptions!$C$25)*(1-Assumptions!$C$29)-((((Assumptions!$C$16*Assumptions!$C$17)*4*Assumptions!$C$19)*120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-5.73399750000001</v>
      </c>
      <c r="G29" s="52" t="n">
        <f aca="false">((((Assumptions!$C$16*Assumptions!$C$17)*4*Assumptions!$C$19)*140*365/1000000)*Assumptions!$C$24+(((Assumptions!$C$16*Assumptions!$C$17)*4*(1-Assumptions!$C$19))*Assumptions!$C$22*365/1000000)*Assumptions!$C$25)*(1-Assumptions!$C$29)-((((Assumptions!$C$16*Assumptions!$C$17)*4*Assumptions!$C$19)*140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0.272442499999997</v>
      </c>
      <c r="H29" s="52" t="n">
        <f aca="false">((((Assumptions!$C$16*Assumptions!$C$17)*4*Assumptions!$C$19)*160*365/1000000)*Assumptions!$C$24+(((Assumptions!$C$16*Assumptions!$C$17)*4*(1-Assumptions!$C$19))*Assumptions!$C$22*365/1000000)*Assumptions!$C$25)*(1-Assumptions!$C$29)-((((Assumptions!$C$16*Assumptions!$C$17)*4*Assumptions!$C$19)*160*365/1000000)+(((Assumptions!$C$16*Assumptions!$C$17)*4*(1-Assumptions!$C$19))*Assumptions!$C$22*365/1000000))*(Assumptions!$C$27+Assumptions!$C$28)-((((Assumptions!$C$16*Assumptions!$C$17)*4*Assumptions!$C$19)/Assumptions!$C$20)*(Assumptions!$C$31+Assumptions!$C$33/Assumptions!$C$36)+((Assumptions!$C$16*Assumptions!$C$17)*4*(1-Assumptions!$C$19))*(Assumptions!$C$32+Assumptions!$C$34/Assumptions!$C$37)+(Assumptions!$C$16*Assumptions!$C$17)*Assumptions!$C$35/Assumptions!$C$38)/1000000</f>
        <v>6.27888249999999</v>
      </c>
    </row>
    <row r="30" customFormat="false" ht="15" hidden="false" customHeight="false" outlineLevel="0" collapsed="false">
      <c r="A30" s="51" t="n">
        <v>5</v>
      </c>
      <c r="B30" s="52" t="n">
        <f aca="false">((((Assumptions!$C$16*Assumptions!$C$17)*5*Assumptions!$C$19)*40*365/1000000)*Assumptions!$C$24+(((Assumptions!$C$16*Assumptions!$C$17)*5*(1-Assumptions!$C$19))*Assumptions!$C$22*365/1000000)*Assumptions!$C$25)*(1-Assumptions!$C$29)-((((Assumptions!$C$16*Assumptions!$C$17)*5*Assumptions!$C$19)*40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-36.099696875</v>
      </c>
      <c r="C30" s="52" t="n">
        <f aca="false">((((Assumptions!$C$16*Assumptions!$C$17)*5*Assumptions!$C$19)*60*365/1000000)*Assumptions!$C$24+(((Assumptions!$C$16*Assumptions!$C$17)*5*(1-Assumptions!$C$19))*Assumptions!$C$22*365/1000000)*Assumptions!$C$25)*(1-Assumptions!$C$29)-((((Assumptions!$C$16*Assumptions!$C$17)*5*Assumptions!$C$19)*60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-28.591646875</v>
      </c>
      <c r="D30" s="52" t="n">
        <f aca="false">((((Assumptions!$C$16*Assumptions!$C$17)*5*Assumptions!$C$19)*80*365/1000000)*Assumptions!$C$24+(((Assumptions!$C$16*Assumptions!$C$17)*5*(1-Assumptions!$C$19))*Assumptions!$C$22*365/1000000)*Assumptions!$C$25)*(1-Assumptions!$C$29)-((((Assumptions!$C$16*Assumptions!$C$17)*5*Assumptions!$C$19)*80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-21.083596875</v>
      </c>
      <c r="E30" s="52" t="n">
        <f aca="false">((((Assumptions!$C$16*Assumptions!$C$17)*5*Assumptions!$C$19)*100*365/1000000)*Assumptions!$C$24+(((Assumptions!$C$16*Assumptions!$C$17)*5*(1-Assumptions!$C$19))*Assumptions!$C$22*365/1000000)*Assumptions!$C$25)*(1-Assumptions!$C$29)-((((Assumptions!$C$16*Assumptions!$C$17)*5*Assumptions!$C$19)*100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-13.575546875</v>
      </c>
      <c r="F30" s="52" t="n">
        <f aca="false">((((Assumptions!$C$16*Assumptions!$C$17)*5*Assumptions!$C$19)*120*365/1000000)*Assumptions!$C$24+(((Assumptions!$C$16*Assumptions!$C$17)*5*(1-Assumptions!$C$19))*Assumptions!$C$22*365/1000000)*Assumptions!$C$25)*(1-Assumptions!$C$29)-((((Assumptions!$C$16*Assumptions!$C$17)*5*Assumptions!$C$19)*120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-6.067496875</v>
      </c>
      <c r="G30" s="52" t="n">
        <f aca="false">((((Assumptions!$C$16*Assumptions!$C$17)*5*Assumptions!$C$19)*140*365/1000000)*Assumptions!$C$24+(((Assumptions!$C$16*Assumptions!$C$17)*5*(1-Assumptions!$C$19))*Assumptions!$C$22*365/1000000)*Assumptions!$C$25)*(1-Assumptions!$C$29)-((((Assumptions!$C$16*Assumptions!$C$17)*5*Assumptions!$C$19)*140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1.44055312499999</v>
      </c>
      <c r="H30" s="52" t="n">
        <f aca="false">((((Assumptions!$C$16*Assumptions!$C$17)*5*Assumptions!$C$19)*160*365/1000000)*Assumptions!$C$24+(((Assumptions!$C$16*Assumptions!$C$17)*5*(1-Assumptions!$C$19))*Assumptions!$C$22*365/1000000)*Assumptions!$C$25)*(1-Assumptions!$C$29)-((((Assumptions!$C$16*Assumptions!$C$17)*5*Assumptions!$C$19)*160*365/1000000)+(((Assumptions!$C$16*Assumptions!$C$17)*5*(1-Assumptions!$C$19))*Assumptions!$C$22*365/1000000))*(Assumptions!$C$27+Assumptions!$C$28)-((((Assumptions!$C$16*Assumptions!$C$17)*5*Assumptions!$C$19)/Assumptions!$C$20)*(Assumptions!$C$31+Assumptions!$C$33/Assumptions!$C$36)+((Assumptions!$C$16*Assumptions!$C$17)*5*(1-Assumptions!$C$19))*(Assumptions!$C$32+Assumptions!$C$34/Assumptions!$C$37)+(Assumptions!$C$16*Assumptions!$C$17)*Assumptions!$C$35/Assumptions!$C$38)/1000000</f>
        <v>8.94860312499999</v>
      </c>
    </row>
    <row r="31" customFormat="false" ht="15" hidden="false" customHeight="false" outlineLevel="0" collapsed="false">
      <c r="A31" s="51" t="n">
        <v>6</v>
      </c>
      <c r="B31" s="52" t="n">
        <f aca="false">((((Assumptions!$C$16*Assumptions!$C$17)*6*Assumptions!$C$19)*40*365/1000000)*Assumptions!$C$24+(((Assumptions!$C$16*Assumptions!$C$17)*6*(1-Assumptions!$C$19))*Assumptions!$C$22*365/1000000)*Assumptions!$C$25)*(1-Assumptions!$C$29)-((((Assumptions!$C$16*Assumptions!$C$17)*6*Assumptions!$C$19)*40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-42.43963625</v>
      </c>
      <c r="C31" s="52" t="n">
        <f aca="false">((((Assumptions!$C$16*Assumptions!$C$17)*6*Assumptions!$C$19)*60*365/1000000)*Assumptions!$C$24+(((Assumptions!$C$16*Assumptions!$C$17)*6*(1-Assumptions!$C$19))*Assumptions!$C$22*365/1000000)*Assumptions!$C$25)*(1-Assumptions!$C$29)-((((Assumptions!$C$16*Assumptions!$C$17)*6*Assumptions!$C$19)*60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-33.42997625</v>
      </c>
      <c r="D31" s="52" t="n">
        <f aca="false">((((Assumptions!$C$16*Assumptions!$C$17)*6*Assumptions!$C$19)*80*365/1000000)*Assumptions!$C$24+(((Assumptions!$C$16*Assumptions!$C$17)*6*(1-Assumptions!$C$19))*Assumptions!$C$22*365/1000000)*Assumptions!$C$25)*(1-Assumptions!$C$29)-((((Assumptions!$C$16*Assumptions!$C$17)*6*Assumptions!$C$19)*80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-24.42031625</v>
      </c>
      <c r="E31" s="52" t="n">
        <f aca="false">((((Assumptions!$C$16*Assumptions!$C$17)*6*Assumptions!$C$19)*100*365/1000000)*Assumptions!$C$24+(((Assumptions!$C$16*Assumptions!$C$17)*6*(1-Assumptions!$C$19))*Assumptions!$C$22*365/1000000)*Assumptions!$C$25)*(1-Assumptions!$C$29)-((((Assumptions!$C$16*Assumptions!$C$17)*6*Assumptions!$C$19)*100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-15.41065625</v>
      </c>
      <c r="F31" s="52" t="n">
        <f aca="false">((((Assumptions!$C$16*Assumptions!$C$17)*6*Assumptions!$C$19)*120*365/1000000)*Assumptions!$C$24+(((Assumptions!$C$16*Assumptions!$C$17)*6*(1-Assumptions!$C$19))*Assumptions!$C$22*365/1000000)*Assumptions!$C$25)*(1-Assumptions!$C$29)-((((Assumptions!$C$16*Assumptions!$C$17)*6*Assumptions!$C$19)*120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-6.40099625000003</v>
      </c>
      <c r="G31" s="52" t="n">
        <f aca="false">((((Assumptions!$C$16*Assumptions!$C$17)*6*Assumptions!$C$19)*140*365/1000000)*Assumptions!$C$24+(((Assumptions!$C$16*Assumptions!$C$17)*6*(1-Assumptions!$C$19))*Assumptions!$C$22*365/1000000)*Assumptions!$C$25)*(1-Assumptions!$C$29)-((((Assumptions!$C$16*Assumptions!$C$17)*6*Assumptions!$C$19)*140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2.60866374999998</v>
      </c>
      <c r="H31" s="52" t="n">
        <f aca="false">((((Assumptions!$C$16*Assumptions!$C$17)*6*Assumptions!$C$19)*160*365/1000000)*Assumptions!$C$24+(((Assumptions!$C$16*Assumptions!$C$17)*6*(1-Assumptions!$C$19))*Assumptions!$C$22*365/1000000)*Assumptions!$C$25)*(1-Assumptions!$C$29)-((((Assumptions!$C$16*Assumptions!$C$17)*6*Assumptions!$C$19)*160*365/1000000)+(((Assumptions!$C$16*Assumptions!$C$17)*6*(1-Assumptions!$C$19))*Assumptions!$C$22*365/1000000))*(Assumptions!$C$27+Assumptions!$C$28)-((((Assumptions!$C$16*Assumptions!$C$17)*6*Assumptions!$C$19)/Assumptions!$C$20)*(Assumptions!$C$31+Assumptions!$C$33/Assumptions!$C$36)+((Assumptions!$C$16*Assumptions!$C$17)*6*(1-Assumptions!$C$19))*(Assumptions!$C$32+Assumptions!$C$34/Assumptions!$C$37)+(Assumptions!$C$16*Assumptions!$C$17)*Assumptions!$C$35/Assumptions!$C$38)/1000000</f>
        <v>11.61832375</v>
      </c>
    </row>
    <row r="32" customFormat="false" ht="15" hidden="false" customHeight="false" outlineLevel="0" collapsed="false">
      <c r="A32" s="51" t="n">
        <v>8</v>
      </c>
      <c r="B32" s="52" t="n">
        <f aca="false">((((Assumptions!$C$16*Assumptions!$C$17)*8*Assumptions!$C$19)*40*365/1000000)*Assumptions!$C$24+(((Assumptions!$C$16*Assumptions!$C$17)*8*(1-Assumptions!$C$19))*Assumptions!$C$22*365/1000000)*Assumptions!$C$25)*(1-Assumptions!$C$29)-((((Assumptions!$C$16*Assumptions!$C$17)*8*Assumptions!$C$19)*40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-55.119515</v>
      </c>
      <c r="C32" s="52" t="n">
        <f aca="false">((((Assumptions!$C$16*Assumptions!$C$17)*8*Assumptions!$C$19)*60*365/1000000)*Assumptions!$C$24+(((Assumptions!$C$16*Assumptions!$C$17)*8*(1-Assumptions!$C$19))*Assumptions!$C$22*365/1000000)*Assumptions!$C$25)*(1-Assumptions!$C$29)-((((Assumptions!$C$16*Assumptions!$C$17)*8*Assumptions!$C$19)*60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-43.106635</v>
      </c>
      <c r="D32" s="52" t="n">
        <f aca="false">((((Assumptions!$C$16*Assumptions!$C$17)*8*Assumptions!$C$19)*80*365/1000000)*Assumptions!$C$24+(((Assumptions!$C$16*Assumptions!$C$17)*8*(1-Assumptions!$C$19))*Assumptions!$C$22*365/1000000)*Assumptions!$C$25)*(1-Assumptions!$C$29)-((((Assumptions!$C$16*Assumptions!$C$17)*8*Assumptions!$C$19)*80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-31.093755</v>
      </c>
      <c r="E32" s="52" t="n">
        <f aca="false">((((Assumptions!$C$16*Assumptions!$C$17)*8*Assumptions!$C$19)*100*365/1000000)*Assumptions!$C$24+(((Assumptions!$C$16*Assumptions!$C$17)*8*(1-Assumptions!$C$19))*Assumptions!$C$22*365/1000000)*Assumptions!$C$25)*(1-Assumptions!$C$29)-((((Assumptions!$C$16*Assumptions!$C$17)*8*Assumptions!$C$19)*100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-19.080875</v>
      </c>
      <c r="F32" s="52" t="n">
        <f aca="false">((((Assumptions!$C$16*Assumptions!$C$17)*8*Assumptions!$C$19)*120*365/1000000)*Assumptions!$C$24+(((Assumptions!$C$16*Assumptions!$C$17)*8*(1-Assumptions!$C$19))*Assumptions!$C$22*365/1000000)*Assumptions!$C$25)*(1-Assumptions!$C$29)-((((Assumptions!$C$16*Assumptions!$C$17)*8*Assumptions!$C$19)*120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-7.06799500000001</v>
      </c>
      <c r="G32" s="52" t="n">
        <f aca="false">((((Assumptions!$C$16*Assumptions!$C$17)*8*Assumptions!$C$19)*140*365/1000000)*Assumptions!$C$24+(((Assumptions!$C$16*Assumptions!$C$17)*8*(1-Assumptions!$C$19))*Assumptions!$C$22*365/1000000)*Assumptions!$C$25)*(1-Assumptions!$C$29)-((((Assumptions!$C$16*Assumptions!$C$17)*8*Assumptions!$C$19)*140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4.944885</v>
      </c>
      <c r="H32" s="52" t="n">
        <f aca="false">((((Assumptions!$C$16*Assumptions!$C$17)*8*Assumptions!$C$19)*160*365/1000000)*Assumptions!$C$24+(((Assumptions!$C$16*Assumptions!$C$17)*8*(1-Assumptions!$C$19))*Assumptions!$C$22*365/1000000)*Assumptions!$C$25)*(1-Assumptions!$C$29)-((((Assumptions!$C$16*Assumptions!$C$17)*8*Assumptions!$C$19)*160*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16.957765</v>
      </c>
    </row>
    <row r="35" customFormat="false" ht="15" hidden="false" customHeight="false" outlineLevel="0" collapsed="false">
      <c r="A35" s="4" t="s">
        <v>388</v>
      </c>
    </row>
    <row r="36" customFormat="false" ht="23.85" hidden="false" customHeight="false" outlineLevel="0" collapsed="false">
      <c r="A36" s="6" t="s">
        <v>389</v>
      </c>
      <c r="B36" s="6" t="s">
        <v>390</v>
      </c>
      <c r="C36" s="6" t="s">
        <v>391</v>
      </c>
      <c r="D36" s="6" t="s">
        <v>392</v>
      </c>
      <c r="E36" s="6" t="s">
        <v>393</v>
      </c>
      <c r="F36" s="6" t="s">
        <v>394</v>
      </c>
    </row>
    <row r="37" customFormat="false" ht="23.85" hidden="false" customHeight="false" outlineLevel="0" collapsed="false">
      <c r="A37" s="37" t="s">
        <v>87</v>
      </c>
      <c r="B37"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C37" s="52" t="n">
        <f aca="false">((((Assumptions!$C$16*Assumptions!$C$17)*Assumptions!$C$18*Assumptions!$C$19)*40*365/1000000)*Assumptions!$C$24+(((Assumptions!$C$16*Assumptions!$C$17)*Assumptions!$C$18*(1-Assumptions!$C$19))*Assumptions!$C$22*365/1000000)*Assumptions!$C$25)*(1-Assumptions!$C$29)-((((Assumptions!$C$16*Assumptions!$C$17)*Assumptions!$C$18*Assumptions!$C$19)*40*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-29.7597575</v>
      </c>
      <c r="D37" s="52" t="n">
        <f aca="false">((((Assumptions!$C$16*Assumptions!$C$17)*Assumptions!$C$18*Assumptions!$C$19)*160*365/1000000)*Assumptions!$C$24+(((Assumptions!$C$16*Assumptions!$C$17)*Assumptions!$C$18*(1-Assumptions!$C$19))*Assumptions!$C$22*365/1000000)*Assumptions!$C$25)*(1-Assumptions!$C$29)-((((Assumptions!$C$16*Assumptions!$C$17)*Assumptions!$C$18*Assumptions!$C$19)*160*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6.27888249999999</v>
      </c>
      <c r="E37" s="5" t="s">
        <v>395</v>
      </c>
      <c r="F37" s="5" t="s">
        <v>396</v>
      </c>
    </row>
    <row r="38" customFormat="false" ht="15" hidden="false" customHeight="false" outlineLevel="0" collapsed="false">
      <c r="A38" s="37" t="s">
        <v>397</v>
      </c>
      <c r="B38"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C38" s="52" t="n">
        <f aca="false">((((Assumptions!$C$16*Assumptions!$C$17)*2*Assumptions!$C$19)*Assumptions!$C$21*365/1000000)*Assumptions!$C$24+(((Assumptions!$C$16*Assumptions!$C$17)*2*(1-Assumptions!$C$19))*Assumptions!$C$22*365/1000000)*Assumptions!$C$25)*(1-Assumptions!$C$29)-((((Assumptions!$C$16*Assumptions!$C$17)*2*Assumptions!$C$19)*Assumptions!$C$21*365/1000000)+(((Assumptions!$C$16*Assumptions!$C$17)*2*(1-Assumptions!$C$19))*Assumptions!$C$22*365/1000000))*(Assumptions!$C$27+Assumptions!$C$28)-((((Assumptions!$C$16*Assumptions!$C$17)*2*Assumptions!$C$19)/Assumptions!$C$20)*(Assumptions!$C$31+Assumptions!$C$33/Assumptions!$C$36)+((Assumptions!$C$16*Assumptions!$C$17)*2*(1-Assumptions!$C$19))*(Assumptions!$C$32+Assumptions!$C$34/Assumptions!$C$37)+(Assumptions!$C$16*Assumptions!$C$17)*Assumptions!$C$35/Assumptions!$C$38)/1000000</f>
        <v>-11.07343875</v>
      </c>
      <c r="D38" s="52" t="n">
        <f aca="false">((((Assumptions!$C$16*Assumptions!$C$17)*8*Assumptions!$C$19)*Assumptions!$C$21*365/1000000)*Assumptions!$C$24+(((Assumptions!$C$16*Assumptions!$C$17)*8*(1-Assumptions!$C$19))*Assumptions!$C$22*365/1000000)*Assumptions!$C$25)*(1-Assumptions!$C$29)-((((Assumptions!$C$16*Assumptions!$C$17)*8*Assumptions!$C$19)*Assumptions!$C$21*365/1000000)+(((Assumptions!$C$16*Assumptions!$C$17)*8*(1-Assumptions!$C$19))*Assumptions!$C$22*365/1000000))*(Assumptions!$C$27+Assumptions!$C$28)-((((Assumptions!$C$16*Assumptions!$C$17)*8*Assumptions!$C$19)/Assumptions!$C$20)*(Assumptions!$C$31+Assumptions!$C$33/Assumptions!$C$36)+((Assumptions!$C$16*Assumptions!$C$17)*8*(1-Assumptions!$C$19))*(Assumptions!$C$32+Assumptions!$C$34/Assumptions!$C$37)+(Assumptions!$C$16*Assumptions!$C$17)*Assumptions!$C$35/Assumptions!$C$38)/1000000</f>
        <v>-31.093755</v>
      </c>
      <c r="E38" s="5" t="s">
        <v>398</v>
      </c>
      <c r="F38" s="5" t="s">
        <v>399</v>
      </c>
    </row>
    <row r="39" customFormat="false" ht="23.85" hidden="false" customHeight="false" outlineLevel="0" collapsed="false">
      <c r="A39" s="37" t="s">
        <v>75</v>
      </c>
      <c r="B39"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C39" s="52" t="n">
        <f aca="false">((((Assumptions!$C$16*0.5)*Assumptions!$C$18*Assumptions!$C$19)*Assumptions!$C$21*365/1000000)*Assumptions!$C$24+(((Assumptions!$C$16*0.5)*Assumptions!$C$18*(1-Assumptions!$C$19))*Assumptions!$C$22*365/1000000)*Assumptions!$C$25)*(1-Assumptions!$C$29)-((((Assumptions!$C$16*0.5)*Assumptions!$C$18*Assumptions!$C$19)*Assumptions!$C$21*365/1000000)+(((Assumptions!$C$16*0.5)*Assumptions!$C$18*(1-Assumptions!$C$19))*Assumptions!$C$22*365/1000000))*(Assumptions!$C$27+Assumptions!$C$28)-((((Assumptions!$C$16*0.5)*Assumptions!$C$18*Assumptions!$C$19)/Assumptions!$C$20)*(Assumptions!$C$31+Assumptions!$C$33/Assumptions!$C$36)+((Assumptions!$C$16*0.5)*Assumptions!$C$18*(1-Assumptions!$C$19))*(Assumptions!$C$32+Assumptions!$C$34/Assumptions!$C$37)+(Assumptions!$C$16*0.5)*Assumptions!$C$35/Assumptions!$C$38)/1000000</f>
        <v>-8.87343875000001</v>
      </c>
      <c r="D39" s="52" t="n">
        <f aca="false">((((Assumptions!$C$16*1)*Assumptions!$C$18*Assumptions!$C$19)*Assumptions!$C$21*365/1000000)*Assumptions!$C$24+(((Assumptions!$C$16*1)*Assumptions!$C$18*(1-Assumptions!$C$19))*Assumptions!$C$22*365/1000000)*Assumptions!$C$25)*(1-Assumptions!$C$29)-((((Assumptions!$C$16*1)*Assumptions!$C$18*Assumptions!$C$19)*Assumptions!$C$21*365/1000000)+(((Assumptions!$C$16*1)*Assumptions!$C$18*(1-Assumptions!$C$19))*Assumptions!$C$22*365/1000000))*(Assumptions!$C$27+Assumptions!$C$28)-((((Assumptions!$C$16*1)*Assumptions!$C$18*Assumptions!$C$19)/Assumptions!$C$20)*(Assumptions!$C$31+Assumptions!$C$33/Assumptions!$C$36)+((Assumptions!$C$16*1)*Assumptions!$C$18*(1-Assumptions!$C$19))*(Assumptions!$C$32+Assumptions!$C$34/Assumptions!$C$37)+(Assumptions!$C$16*1)*Assumptions!$C$35/Assumptions!$C$38)/1000000</f>
        <v>-17.7468775</v>
      </c>
      <c r="E39" s="5" t="s">
        <v>400</v>
      </c>
      <c r="F39" s="5" t="s">
        <v>401</v>
      </c>
    </row>
    <row r="40" customFormat="false" ht="35.05" hidden="false" customHeight="false" outlineLevel="0" collapsed="false">
      <c r="A40" s="37" t="s">
        <v>402</v>
      </c>
      <c r="B40"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C40"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D40"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$50+Assumptions!$C$49/Assumptions!$C$36)+((Assumptions!$C$16*Assumptions!$C$17)*Assumptions!$C$18*(1-Assumptions!$C$19))*(Assumptions!$C$32+Assumptions!$C$34/Assumptions!$C$37)+(Assumptions!$C$16*Assumptions!$C$17)*Assumptions!$C$35/Assumptions!$C$38)/1000000</f>
        <v>3.51978916666666</v>
      </c>
      <c r="E40" s="5" t="s">
        <v>403</v>
      </c>
      <c r="F40" s="5" t="s">
        <v>404</v>
      </c>
    </row>
    <row r="41" customFormat="false" ht="23.85" hidden="false" customHeight="false" outlineLevel="0" collapsed="false">
      <c r="A41" s="37" t="s">
        <v>85</v>
      </c>
      <c r="B41"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C41"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D41"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4)*(Assumptions!$C$31+Assumptions!$C$33/Assumptions!$C$36)+((Assumptions!$C$16*Assumptions!$C$17)*Assumptions!$C$18*(1-Assumptions!$C$19))*(Assumptions!$C$32+Assumptions!$C$34/Assumptions!$C$37)+(Assumptions!$C$16*Assumptions!$C$17)*Assumptions!$C$35/Assumptions!$C$38)/1000000</f>
        <v>0.953122499999992</v>
      </c>
      <c r="E41" s="5" t="s">
        <v>405</v>
      </c>
      <c r="F41" s="5" t="s">
        <v>406</v>
      </c>
    </row>
    <row r="42" customFormat="false" ht="35.05" hidden="false" customHeight="false" outlineLevel="0" collapsed="false">
      <c r="A42" s="37" t="s">
        <v>407</v>
      </c>
      <c r="B42"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Assumptions!$C$20)*(Assumptions!$C$31+Assumptions!$C$33/Assumptions!$C$36)+((Assumptions!$C$16*Assumptions!$C$17)*Assumptions!$C$18*(1-Assumptions!$C$19))*(Assumptions!$C$32+Assumptions!$C$34/Assumptions!$C$37)+(Assumptions!$C$16*Assumptions!$C$17)*Assumptions!$C$35/Assumptions!$C$38)/1000000</f>
        <v>-17.7468775</v>
      </c>
      <c r="C42"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(0.186+0.04)-((((Assumptions!$C$16*Assumptions!$C$17)*Assumptions!$C$18*Assumptions!$C$19)/Assumptions!$C$20)*(Assumptions!$C$31+Assumptions!$C$33/Assumptions!$C$36)+((Assumptions!$C$16*Assumptions!$C$17)*Assumptions!$C$18*(1-Assumptions!$C$19))*(Assumptions!$C$32+Assumptions!$C$34/Assumptions!$C$37)+(Assumptions!$C$16*Assumptions!$C$17)*Assumptions!$C$35/Assumptions!$C$38)/1000000</f>
        <v>-20.2763275</v>
      </c>
      <c r="D42"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(0.161+0)-((((Assumptions!$C$16*Assumptions!$C$17)*Assumptions!$C$18*Assumptions!$C$19)/Assumptions!$C$20)*(Assumptions!$C$31+Assumptions!$C$33/Assumptions!$C$36)+((Assumptions!$C$16*Assumptions!$C$17)*Assumptions!$C$18*(1-Assumptions!$C$19))*(Assumptions!$C$32+Assumptions!$C$34/Assumptions!$C$37)+(Assumptions!$C$16*Assumptions!$C$17)*Assumptions!$C$35/Assumptions!$C$38)/1000000</f>
        <v>-14.7958525</v>
      </c>
      <c r="E42" s="5" t="s">
        <v>408</v>
      </c>
      <c r="F42" s="5" t="s">
        <v>409</v>
      </c>
    </row>
    <row r="45" customFormat="false" ht="15" hidden="false" customHeight="false" outlineLevel="0" collapsed="false">
      <c r="A45" s="4" t="s">
        <v>410</v>
      </c>
    </row>
    <row r="46" customFormat="false" ht="15" hidden="false" customHeight="false" outlineLevel="0" collapsed="false">
      <c r="A46" s="2" t="s">
        <v>411</v>
      </c>
    </row>
    <row r="47" customFormat="false" ht="15" hidden="false" customHeight="false" outlineLevel="0" collapsed="false">
      <c r="A47" s="6" t="s">
        <v>412</v>
      </c>
      <c r="B47" s="6" t="s">
        <v>413</v>
      </c>
      <c r="C47" s="6" t="s">
        <v>414</v>
      </c>
      <c r="D47" s="6" t="s">
        <v>415</v>
      </c>
      <c r="E47" s="6" t="s">
        <v>416</v>
      </c>
      <c r="F47" s="6" t="s">
        <v>417</v>
      </c>
    </row>
    <row r="48" customFormat="false" ht="68.65" hidden="false" customHeight="false" outlineLevel="0" collapsed="false">
      <c r="A48" s="37" t="s">
        <v>244</v>
      </c>
      <c r="B48" s="52" t="n">
        <f aca="false">'3. Margin stacks'!B22</f>
        <v>6.6</v>
      </c>
      <c r="C48" s="52" t="n">
        <f aca="false">'3. Margin stacks'!B33</f>
        <v>15.43476</v>
      </c>
      <c r="D48" s="52" t="n">
        <f aca="false">'3. Margin stacks'!B35</f>
        <v>51.4492</v>
      </c>
      <c r="E48" s="5" t="s">
        <v>418</v>
      </c>
      <c r="F48" s="5" t="s">
        <v>419</v>
      </c>
    </row>
    <row r="49" customFormat="false" ht="35.05" hidden="false" customHeight="false" outlineLevel="0" collapsed="false">
      <c r="A49" s="37" t="s">
        <v>420</v>
      </c>
      <c r="B49" s="52" t="n">
        <f aca="false">'3. Margin stacks'!C7*Assumptions!$C$46</f>
        <v>4.757775</v>
      </c>
      <c r="C49" s="52" t="n">
        <f aca="false">'3. Margin stacks'!C7*Assumptions!$C$45</f>
        <v>7.1366625</v>
      </c>
      <c r="D49" s="52" t="n">
        <f aca="false">'3. Margin stacks'!C7*Assumptions!$C$47</f>
        <v>11.8944375</v>
      </c>
      <c r="E49" s="5" t="s">
        <v>421</v>
      </c>
      <c r="F49" s="5" t="s">
        <v>422</v>
      </c>
    </row>
    <row r="50" customFormat="false" ht="57.45" hidden="false" customHeight="false" outlineLevel="0" collapsed="false">
      <c r="A50" s="37" t="s">
        <v>423</v>
      </c>
      <c r="B50" s="52" t="n">
        <f aca="false">C37</f>
        <v>-29.7597575</v>
      </c>
      <c r="C50" s="52" t="n">
        <f aca="false">B37</f>
        <v>-17.7468775</v>
      </c>
      <c r="D50" s="52" t="n">
        <f aca="false">((((Assumptions!$C$16*Assumptions!$C$17)*Assumptions!$C$18*Assumptions!$C$19)*Assumptions!$C$21*365/1000000)*Assumptions!$C$24+(((Assumptions!$C$16*Assumptions!$C$17)*Assumptions!$C$18*(1-Assumptions!$C$19))*Assumptions!$C$22*365/1000000)*Assumptions!$C$25)*(1-Assumptions!$C$29)-((((Assumptions!$C$16*Assumptions!$C$17)*Assumptions!$C$18*Assumptions!$C$19)*Assumptions!$C$21*365/1000000)+(((Assumptions!$C$16*Assumptions!$C$17)*Assumptions!$C$18*(1-Assumptions!$C$19))*Assumptions!$C$22*365/1000000))*(Assumptions!$C$27+Assumptions!$C$28)-((((Assumptions!$C$16*Assumptions!$C$17)*Assumptions!$C$18*Assumptions!$C$19)/4)*(Assumptions!$C$50+Assumptions!$C$49/Assumptions!$C$36)+((Assumptions!$C$16*Assumptions!$C$17)*Assumptions!$C$18*(1-Assumptions!$C$19))*(Assumptions!$C$32+Assumptions!$C$34/Assumptions!$C$37)+(Assumptions!$C$16*Assumptions!$C$17)*Assumptions!$C$35/Assumptions!$C$38)/1000000</f>
        <v>11.5864558333333</v>
      </c>
      <c r="E50" s="5" t="s">
        <v>424</v>
      </c>
      <c r="F50" s="5" t="s">
        <v>425</v>
      </c>
    </row>
    <row r="51" customFormat="false" ht="68.65" hidden="false" customHeight="false" outlineLevel="0" collapsed="false">
      <c r="A51" s="43" t="s">
        <v>426</v>
      </c>
      <c r="B51" s="53" t="n">
        <f aca="false">MAX(B48:B50)</f>
        <v>6.6</v>
      </c>
      <c r="C51" s="53" t="n">
        <f aca="false">MAX(C48:C50)</f>
        <v>15.43476</v>
      </c>
      <c r="D51" s="53" t="n">
        <f aca="false">MAX(D48:D50)</f>
        <v>51.4492</v>
      </c>
      <c r="E51" s="21" t="s">
        <v>427</v>
      </c>
      <c r="F51" s="21"/>
    </row>
    <row r="53" customFormat="false" ht="55.5" hidden="false" customHeight="true" outlineLevel="0" collapsed="false">
      <c r="A53" s="30" t="s">
        <v>428</v>
      </c>
      <c r="B53" s="30"/>
      <c r="C53" s="30"/>
      <c r="D53" s="30"/>
      <c r="E53" s="30"/>
      <c r="F53" s="30"/>
    </row>
  </sheetData>
  <mergeCells count="1">
    <mergeCell ref="A53:F5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2"/>
    <col collapsed="false" customWidth="true" hidden="false" outlineLevel="0" max="2" min="2" style="0" width="86"/>
    <col collapsed="false" customWidth="true" hidden="false" outlineLevel="0" max="3" min="3" style="0" width="34"/>
    <col collapsed="false" customWidth="true" hidden="false" outlineLevel="0" max="4" min="4" style="0" width="90"/>
    <col collapsed="false" customWidth="true" hidden="false" outlineLevel="0" max="5" min="5" style="0" width="14"/>
  </cols>
  <sheetData>
    <row r="1" customFormat="false" ht="15" hidden="false" customHeight="false" outlineLevel="0" collapsed="false">
      <c r="A1" s="1" t="s">
        <v>429</v>
      </c>
    </row>
    <row r="2" customFormat="false" ht="43.25" hidden="false" customHeight="false" outlineLevel="0" collapsed="false">
      <c r="A2" s="19" t="s">
        <v>430</v>
      </c>
    </row>
    <row r="4" customFormat="false" ht="15" hidden="false" customHeight="false" outlineLevel="0" collapsed="false">
      <c r="A4" s="6" t="s">
        <v>431</v>
      </c>
      <c r="B4" s="6" t="s">
        <v>432</v>
      </c>
      <c r="C4" s="6" t="s">
        <v>433</v>
      </c>
      <c r="D4" s="6" t="s">
        <v>434</v>
      </c>
      <c r="E4" s="6" t="s">
        <v>39</v>
      </c>
    </row>
    <row r="5" customFormat="false" ht="46.25" hidden="false" customHeight="false" outlineLevel="0" collapsed="false">
      <c r="A5" s="5" t="s">
        <v>435</v>
      </c>
      <c r="B5" s="5" t="s">
        <v>436</v>
      </c>
      <c r="C5" s="5" t="s">
        <v>437</v>
      </c>
      <c r="D5" s="5" t="s">
        <v>438</v>
      </c>
      <c r="E5" s="54" t="s">
        <v>44</v>
      </c>
    </row>
    <row r="6" customFormat="false" ht="46.25" hidden="false" customHeight="false" outlineLevel="0" collapsed="false">
      <c r="A6" s="5" t="s">
        <v>439</v>
      </c>
      <c r="B6" s="5" t="s">
        <v>440</v>
      </c>
      <c r="C6" s="5" t="s">
        <v>441</v>
      </c>
      <c r="D6" s="5" t="s">
        <v>442</v>
      </c>
      <c r="E6" s="54" t="s">
        <v>44</v>
      </c>
    </row>
    <row r="7" customFormat="false" ht="57.45" hidden="false" customHeight="false" outlineLevel="0" collapsed="false">
      <c r="A7" s="5" t="s">
        <v>443</v>
      </c>
      <c r="B7" s="5" t="s">
        <v>444</v>
      </c>
      <c r="C7" s="5" t="s">
        <v>445</v>
      </c>
      <c r="D7" s="5" t="s">
        <v>446</v>
      </c>
      <c r="E7" s="54" t="s">
        <v>44</v>
      </c>
    </row>
    <row r="8" customFormat="false" ht="46.25" hidden="false" customHeight="false" outlineLevel="0" collapsed="false">
      <c r="A8" s="5" t="s">
        <v>447</v>
      </c>
      <c r="B8" s="5" t="s">
        <v>448</v>
      </c>
      <c r="C8" s="5" t="s">
        <v>449</v>
      </c>
      <c r="D8" s="5" t="s">
        <v>450</v>
      </c>
      <c r="E8" s="54" t="s">
        <v>44</v>
      </c>
    </row>
    <row r="9" customFormat="false" ht="57.45" hidden="false" customHeight="false" outlineLevel="0" collapsed="false">
      <c r="A9" s="5" t="s">
        <v>451</v>
      </c>
      <c r="B9" s="5" t="s">
        <v>452</v>
      </c>
      <c r="C9" s="5" t="s">
        <v>453</v>
      </c>
      <c r="D9" s="5" t="s">
        <v>454</v>
      </c>
      <c r="E9" s="54" t="s">
        <v>44</v>
      </c>
    </row>
    <row r="11" customFormat="false" ht="45.75" hidden="false" customHeight="true" outlineLevel="0" collapsed="false">
      <c r="A11" s="30" t="s">
        <v>455</v>
      </c>
      <c r="B11" s="30"/>
      <c r="C11" s="30"/>
      <c r="D11" s="30"/>
      <c r="E11" s="30"/>
    </row>
  </sheetData>
  <mergeCells count="1">
    <mergeCell ref="A11:E1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104"/>
    <col collapsed="false" customWidth="true" hidden="false" outlineLevel="0" max="3" min="3" style="0" width="34"/>
    <col collapsed="false" customWidth="true" hidden="false" outlineLevel="0" max="4" min="4" style="0" width="28"/>
    <col collapsed="false" customWidth="true" hidden="false" outlineLevel="0" max="5" min="5" style="0" width="34"/>
  </cols>
  <sheetData>
    <row r="1" customFormat="false" ht="15" hidden="false" customHeight="false" outlineLevel="0" collapsed="false">
      <c r="A1" s="1" t="s">
        <v>456</v>
      </c>
    </row>
    <row r="2" customFormat="false" ht="31.5" hidden="false" customHeight="true" outlineLevel="0" collapsed="false">
      <c r="A2" s="19" t="s">
        <v>457</v>
      </c>
    </row>
    <row r="4" customFormat="false" ht="15" hidden="false" customHeight="false" outlineLevel="0" collapsed="false">
      <c r="A4" s="6" t="s">
        <v>35</v>
      </c>
      <c r="B4" s="6" t="s">
        <v>458</v>
      </c>
      <c r="C4" s="6" t="s">
        <v>459</v>
      </c>
      <c r="D4" s="6" t="s">
        <v>460</v>
      </c>
      <c r="E4" s="6" t="s">
        <v>461</v>
      </c>
    </row>
    <row r="5" customFormat="false" ht="35.05" hidden="false" customHeight="false" outlineLevel="0" collapsed="false">
      <c r="A5" s="3" t="n">
        <v>1</v>
      </c>
      <c r="B5" s="5" t="s">
        <v>462</v>
      </c>
      <c r="C5" s="5" t="s">
        <v>463</v>
      </c>
      <c r="D5" s="5" t="s">
        <v>464</v>
      </c>
      <c r="E5" s="40" t="s">
        <v>465</v>
      </c>
    </row>
    <row r="6" customFormat="false" ht="35.05" hidden="false" customHeight="false" outlineLevel="0" collapsed="false">
      <c r="A6" s="3" t="n">
        <v>2</v>
      </c>
      <c r="B6" s="5" t="s">
        <v>466</v>
      </c>
      <c r="C6" s="5" t="s">
        <v>467</v>
      </c>
      <c r="D6" s="5" t="s">
        <v>468</v>
      </c>
      <c r="E6" s="40" t="s">
        <v>469</v>
      </c>
    </row>
    <row r="7" customFormat="false" ht="35.05" hidden="false" customHeight="false" outlineLevel="0" collapsed="false">
      <c r="A7" s="3" t="n">
        <v>3</v>
      </c>
      <c r="B7" s="5" t="s">
        <v>470</v>
      </c>
      <c r="C7" s="5" t="s">
        <v>471</v>
      </c>
      <c r="D7" s="5" t="s">
        <v>472</v>
      </c>
      <c r="E7" s="40" t="s">
        <v>473</v>
      </c>
    </row>
    <row r="8" customFormat="false" ht="23.85" hidden="false" customHeight="false" outlineLevel="0" collapsed="false">
      <c r="A8" s="3" t="n">
        <v>4</v>
      </c>
      <c r="B8" s="5" t="s">
        <v>474</v>
      </c>
      <c r="C8" s="5" t="s">
        <v>475</v>
      </c>
      <c r="D8" s="5" t="s">
        <v>472</v>
      </c>
      <c r="E8" s="40" t="s">
        <v>476</v>
      </c>
    </row>
    <row r="9" customFormat="false" ht="23.85" hidden="false" customHeight="false" outlineLevel="0" collapsed="false">
      <c r="A9" s="3" t="n">
        <v>5</v>
      </c>
      <c r="B9" s="5" t="s">
        <v>477</v>
      </c>
      <c r="C9" s="5" t="s">
        <v>478</v>
      </c>
      <c r="D9" s="5" t="s">
        <v>468</v>
      </c>
      <c r="E9" s="40" t="s">
        <v>479</v>
      </c>
    </row>
    <row r="10" customFormat="false" ht="23.85" hidden="false" customHeight="false" outlineLevel="0" collapsed="false">
      <c r="A10" s="3" t="n">
        <v>6</v>
      </c>
      <c r="B10" s="5" t="s">
        <v>480</v>
      </c>
      <c r="C10" s="5" t="s">
        <v>481</v>
      </c>
      <c r="D10" s="5" t="s">
        <v>482</v>
      </c>
      <c r="E10" s="40" t="s">
        <v>479</v>
      </c>
    </row>
    <row r="11" customFormat="false" ht="35.05" hidden="false" customHeight="false" outlineLevel="0" collapsed="false">
      <c r="A11" s="3" t="n">
        <v>7</v>
      </c>
      <c r="B11" s="5" t="s">
        <v>483</v>
      </c>
      <c r="C11" s="5" t="s">
        <v>484</v>
      </c>
      <c r="D11" s="5" t="s">
        <v>485</v>
      </c>
      <c r="E11" s="5" t="s">
        <v>486</v>
      </c>
    </row>
    <row r="12" customFormat="false" ht="23.85" hidden="false" customHeight="false" outlineLevel="0" collapsed="false">
      <c r="A12" s="3" t="n">
        <v>8</v>
      </c>
      <c r="B12" s="5" t="s">
        <v>487</v>
      </c>
      <c r="C12" s="5" t="s">
        <v>488</v>
      </c>
      <c r="D12" s="5" t="s">
        <v>472</v>
      </c>
      <c r="E12" s="40" t="s">
        <v>489</v>
      </c>
    </row>
    <row r="13" customFormat="false" ht="23.85" hidden="false" customHeight="false" outlineLevel="0" collapsed="false">
      <c r="A13" s="3" t="n">
        <v>9</v>
      </c>
      <c r="B13" s="5" t="s">
        <v>490</v>
      </c>
      <c r="C13" s="5" t="s">
        <v>491</v>
      </c>
      <c r="D13" s="5" t="s">
        <v>472</v>
      </c>
      <c r="E13" s="40" t="s">
        <v>492</v>
      </c>
    </row>
    <row r="14" customFormat="false" ht="23.85" hidden="false" customHeight="false" outlineLevel="0" collapsed="false">
      <c r="A14" s="3" t="n">
        <v>10</v>
      </c>
      <c r="B14" s="5" t="s">
        <v>493</v>
      </c>
      <c r="C14" s="5" t="s">
        <v>494</v>
      </c>
      <c r="D14" s="5" t="s">
        <v>495</v>
      </c>
      <c r="E14" s="5" t="s">
        <v>496</v>
      </c>
    </row>
    <row r="15" customFormat="false" ht="23.85" hidden="false" customHeight="false" outlineLevel="0" collapsed="false">
      <c r="A15" s="3" t="n">
        <v>11</v>
      </c>
      <c r="B15" s="5" t="s">
        <v>497</v>
      </c>
      <c r="C15" s="5" t="s">
        <v>498</v>
      </c>
      <c r="D15" s="5" t="s">
        <v>499</v>
      </c>
      <c r="E15" s="5" t="s">
        <v>500</v>
      </c>
    </row>
    <row r="16" customFormat="false" ht="23.85" hidden="false" customHeight="false" outlineLevel="0" collapsed="false">
      <c r="A16" s="3" t="n">
        <v>12</v>
      </c>
      <c r="B16" s="5" t="s">
        <v>501</v>
      </c>
      <c r="C16" s="5" t="s">
        <v>502</v>
      </c>
      <c r="D16" s="5" t="s">
        <v>482</v>
      </c>
      <c r="E16" s="5" t="s">
        <v>503</v>
      </c>
    </row>
    <row r="17" customFormat="false" ht="35.05" hidden="false" customHeight="false" outlineLevel="0" collapsed="false">
      <c r="A17" s="3" t="n">
        <v>13</v>
      </c>
      <c r="B17" s="5" t="s">
        <v>504</v>
      </c>
      <c r="C17" s="5" t="s">
        <v>505</v>
      </c>
      <c r="D17" s="5" t="s">
        <v>482</v>
      </c>
      <c r="E17" s="5" t="s">
        <v>506</v>
      </c>
    </row>
    <row r="18" customFormat="false" ht="23.85" hidden="false" customHeight="false" outlineLevel="0" collapsed="false">
      <c r="A18" s="3" t="n">
        <v>14</v>
      </c>
      <c r="B18" s="5" t="s">
        <v>507</v>
      </c>
      <c r="C18" s="5" t="s">
        <v>508</v>
      </c>
      <c r="D18" s="5" t="s">
        <v>509</v>
      </c>
      <c r="E18" s="5" t="s">
        <v>506</v>
      </c>
    </row>
    <row r="19" customFormat="false" ht="23.85" hidden="false" customHeight="false" outlineLevel="0" collapsed="false">
      <c r="A19" s="3" t="n">
        <v>15</v>
      </c>
      <c r="B19" s="5" t="s">
        <v>510</v>
      </c>
      <c r="C19" s="5" t="s">
        <v>511</v>
      </c>
      <c r="D19" s="5" t="s">
        <v>472</v>
      </c>
      <c r="E19" s="5" t="s">
        <v>506</v>
      </c>
    </row>
    <row r="20" customFormat="false" ht="23.85" hidden="false" customHeight="false" outlineLevel="0" collapsed="false">
      <c r="A20" s="3" t="n">
        <v>16</v>
      </c>
      <c r="B20" s="5" t="s">
        <v>512</v>
      </c>
      <c r="C20" s="5" t="s">
        <v>513</v>
      </c>
      <c r="D20" s="5" t="s">
        <v>472</v>
      </c>
      <c r="E20" s="5" t="s">
        <v>506</v>
      </c>
    </row>
    <row r="21" customFormat="false" ht="35.05" hidden="false" customHeight="false" outlineLevel="0" collapsed="false">
      <c r="A21" s="3" t="n">
        <v>17</v>
      </c>
      <c r="B21" s="5" t="s">
        <v>514</v>
      </c>
      <c r="C21" s="5" t="s">
        <v>515</v>
      </c>
      <c r="D21" s="5" t="s">
        <v>472</v>
      </c>
      <c r="E21" s="5" t="s">
        <v>506</v>
      </c>
    </row>
    <row r="22" customFormat="false" ht="35.05" hidden="false" customHeight="false" outlineLevel="0" collapsed="false">
      <c r="A22" s="3" t="n">
        <v>18</v>
      </c>
      <c r="B22" s="5" t="s">
        <v>516</v>
      </c>
      <c r="C22" s="5" t="s">
        <v>517</v>
      </c>
      <c r="D22" s="5" t="s">
        <v>472</v>
      </c>
      <c r="E22" s="5" t="s">
        <v>506</v>
      </c>
    </row>
    <row r="23" customFormat="false" ht="23.85" hidden="false" customHeight="false" outlineLevel="0" collapsed="false">
      <c r="A23" s="3" t="n">
        <v>19</v>
      </c>
      <c r="B23" s="5" t="s">
        <v>518</v>
      </c>
      <c r="C23" s="5" t="s">
        <v>519</v>
      </c>
      <c r="D23" s="5" t="s">
        <v>472</v>
      </c>
      <c r="E23" s="5" t="s">
        <v>506</v>
      </c>
    </row>
    <row r="24" customFormat="false" ht="23.85" hidden="false" customHeight="false" outlineLevel="0" collapsed="false">
      <c r="A24" s="3" t="n">
        <v>20</v>
      </c>
      <c r="B24" s="5" t="s">
        <v>520</v>
      </c>
      <c r="C24" s="5" t="s">
        <v>521</v>
      </c>
      <c r="D24" s="5" t="s">
        <v>472</v>
      </c>
      <c r="E24" s="5" t="s">
        <v>522</v>
      </c>
    </row>
    <row r="25" customFormat="false" ht="23.85" hidden="false" customHeight="false" outlineLevel="0" collapsed="false">
      <c r="A25" s="3" t="n">
        <v>21</v>
      </c>
      <c r="B25" s="5" t="s">
        <v>523</v>
      </c>
      <c r="C25" s="5" t="s">
        <v>524</v>
      </c>
      <c r="D25" s="5" t="s">
        <v>472</v>
      </c>
      <c r="E25" s="5" t="s">
        <v>525</v>
      </c>
    </row>
    <row r="27" customFormat="false" ht="45.75" hidden="false" customHeight="true" outlineLevel="0" collapsed="false">
      <c r="A27" s="55" t="s">
        <v>526</v>
      </c>
      <c r="B27" s="55"/>
      <c r="C27" s="55"/>
      <c r="D27" s="55"/>
      <c r="E27" s="55"/>
    </row>
  </sheetData>
  <mergeCells count="1">
    <mergeCell ref="A27:E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2026-07-27T15:24:26Z</dcterms:created>
  <dc:creator>openpyxl</dc:creator>
  <dc:description/>
  <dc:language>en-US</dc:language>
  <cp:lastModifiedBy/>
  <dcterms:modified xsi:type="dcterms:W3CDTF">2026-07-27T16:19:56Z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