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4.xml" ContentType="application/vnd.openxmlformats-officedocument.spreadsheetml.worksheet+xml"/>
  <Override PartName="/xl/worksheets/sheet7.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lowestEdited="4"/>
  <workbookPr backupFile="false" showObjects="all" date1904="false"/>
  <workbookProtection/>
  <bookViews>
    <workbookView showHorizontalScroll="true" showVerticalScroll="true" showSheetTabs="true" xWindow="0" yWindow="0" windowWidth="16384" windowHeight="8192" tabRatio="500" firstSheet="0" activeTab="0"/>
  </bookViews>
  <sheets>
    <sheet name="README" sheetId="1" state="visible" r:id="rId3"/>
    <sheet name="Assumptions" sheetId="2" state="visible" r:id="rId4"/>
    <sheet name="1. Top-down funnel" sheetId="3" state="visible" r:id="rId5"/>
    <sheet name="2. Verdal volume" sheetId="4" state="visible" r:id="rId6"/>
    <sheet name="3. Margin stacks" sheetId="5" state="visible" r:id="rId7"/>
    <sheet name="4. Perimeter bridge" sheetId="6" state="visible" r:id="rId8"/>
    <sheet name="5. Sensitivity" sheetId="7" state="visible" r:id="rId9"/>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<sst xmlns="http://schemas.openxmlformats.org/spreadsheetml/2006/main" count="387" uniqueCount="292">
  <si>
    <t xml:space="preserve">Verdal Group — WP1 market model</t>
  </si>
  <si>
    <t xml:space="preserve">VG-STRAT-2026-07 · EV charging strategic options · built 27 July 2026 · all figures 2030 unless stated</t>
  </si>
  <si>
    <t xml:space="preserve">Purpose</t>
  </si>
  <si>
    <t xml:space="preserve">Size what is genuinely addressable by Verdal at the SITE-HOST level, and locate the Board's €25bn figure against it.</t>
  </si>
  <si>
    <t xml:space="preserve">How to use this file</t>
  </si>
  <si>
    <t xml:space="preserve">Every input sits on the 'Assumptions' tab. Change a value there and the whole model recalculates. Nothing is hardcoded downstream.</t>
  </si>
  <si>
    <t xml:space="preserve">Colour convention</t>
  </si>
  <si>
    <t xml:space="preserve">BLUE = an input you can edit.  BLACK = a formula.  YELLOW FILL = an assumption we could not source and that materially moves the answer.</t>
  </si>
  <si>
    <t xml:space="preserve">Confidence labels</t>
  </si>
  <si>
    <t xml:space="preserve">VERIFIED = identified, traceable source.  PROBABLE = consistent with several sources, not directly confirmed.  HYPOTHESIS = plausible reasoning without a source, flagged as such.</t>
  </si>
  <si>
    <t xml:space="preserve">The one cell that matters most</t>
  </si>
  <si>
    <t xml:space="preserve">Assumptions!C15 — convertible charging bays per site. Verdal has not supplied it. Every euro in this model scales off it. It is the first line of the data-room request.</t>
  </si>
  <si>
    <t xml:space="preserve">What this model does NOT do</t>
  </si>
  <si>
    <t xml:space="preserve">It uses no Verdal internal figure that has not been supplied. Current lease fee, bay counts, car-park capacity and energy contract terms are data-room requests, shown here as explicit, replaceable assumptions.</t>
  </si>
  <si>
    <t xml:space="preserve">It does not include the footfall and basket effect of charging on grocery sales. That is a retail-economics question, sized in WP5, and it may well be larger than the charging margin itself.</t>
  </si>
  <si>
    <t xml:space="preserve">It contains no customer research. Willingness to pay and dwell-time behaviour are interview questions, specified in WP2.</t>
  </si>
  <si>
    <t xml:space="preserve">Tabs</t>
  </si>
  <si>
    <t xml:space="preserve">Assumptions — every input, with source and confidence</t>
  </si>
  <si>
    <t xml:space="preserve">1. Top-down funnel — Europe TWh down to grocery destination charging in the six countries</t>
  </si>
  <si>
    <t xml:space="preserve">2. Verdal volume — bottom-up from 1,100 sites, and the reconciliation against the funnel</t>
  </si>
  <si>
    <t xml:space="preserve">3. Margin stacks — lease / revenue share / operate, per kWh and in euros a year</t>
  </si>
  <si>
    <t xml:space="preserve">4. Perimeter bridge — the Board's €25bn and Verdal's number, on the same page</t>
  </si>
  <si>
    <t xml:space="preserve">5. Sensitivity — the three drivers that move the answer, and the break-even utilisation</t>
  </si>
  <si>
    <t xml:space="preserve">Health warning</t>
  </si>
  <si>
    <t xml:space="preserve">This model is assumption-dense by construction, because the site-host layer of the charging market is barely published. Where the evidence is thin the model says so rather than smoothing it. Read the confidence column before quoting any number from it.</t>
  </si>
  <si>
    <t xml:space="preserve">Assumptions — every input in the model sits here</t>
  </si>
  <si>
    <t xml:space="preserve">Blue = editable input. Yellow fill = unsourced and material. Change a value and every downstream tab recalculates.</t>
  </si>
  <si>
    <t xml:space="preserve">#</t>
  </si>
  <si>
    <t xml:space="preserve">Input</t>
  </si>
  <si>
    <t xml:space="preserve">Value</t>
  </si>
  <si>
    <t xml:space="preserve">Unit / basis</t>
  </si>
  <si>
    <t xml:space="preserve">Confidence</t>
  </si>
  <si>
    <t xml:space="preserve">Source</t>
  </si>
  <si>
    <t xml:space="preserve">A. European demand base</t>
  </si>
  <si>
    <t xml:space="preserve">European electricity generation, latest actual</t>
  </si>
  <si>
    <t xml:space="preserve">TWh, 2025</t>
  </si>
  <si>
    <t xml:space="preserve">Probable</t>
  </si>
  <si>
    <t xml:space="preserve">Derived: Ember European Electricity Review 2026 — renewables 1,331 TWh = 47.7% of the mix. https://ember-energy.org/app/uploads/2026/01/EMBER-Report-European-Electricity-Review-2026.pdf</t>
  </si>
  <si>
    <t xml:space="preserve">Electricity demand growth to 2030</t>
  </si>
  <si>
    <t xml:space="preserve">% a year</t>
  </si>
  <si>
    <t xml:space="preserve">Hypothesis</t>
  </si>
  <si>
    <t xml:space="preserve">Placeholder growth rate, not sourced. Moves the funnel far less than the perimeter question does.</t>
  </si>
  <si>
    <t xml:space="preserve">EV share of European electricity demand, 2030</t>
  </si>
  <si>
    <t xml:space="preserve">% of consumption</t>
  </si>
  <si>
    <t xml:space="preserve">Verified</t>
  </si>
  <si>
    <t xml:space="preserve">IEA Global EV Outlook 2025, Stated Policies Scenario: EVs rise from 1.0% of European electricity in 2024 to 4.3% in 2030. https://www.iea.org/reports/global-ev-outlook-2025/outlook-for-energy-demand</t>
  </si>
  <si>
    <t xml:space="preserve">Public charging share of EV electricity</t>
  </si>
  <si>
    <t xml:space="preserve">% of EV kWh</t>
  </si>
  <si>
    <t xml:space="preserve">IEA states the majority of charging stays at home and work; the commonly cited European split is ~70/30 home-work vs public. No authoritative European kWh split is published.</t>
  </si>
  <si>
    <t xml:space="preserve">Destination share of public charging kWh</t>
  </si>
  <si>
    <t xml:space="preserve">% of public kWh</t>
  </si>
  <si>
    <t xml:space="preserve">36% of European public charge POINTS are semi-public / destination (EAFO-derived). Adjusted DOWN to 22% of kWh because destination points are overwhelmingly AC and turn far less energy than highway DC. The adjustment is ours and is not published.</t>
  </si>
  <si>
    <t xml:space="preserve">Grocery share of destination charging kWh</t>
  </si>
  <si>
    <t xml:space="preserve">% of destination kWh</t>
  </si>
  <si>
    <t xml:space="preserve">No European source publishes a grocery split of destination charging. Judgement against the other destination categories: shopping centres, workplace, hotels, leisure, public car parks.</t>
  </si>
  <si>
    <t xml:space="preserve">Six countries' share of European EV parc</t>
  </si>
  <si>
    <t xml:space="preserve">% of European EVs</t>
  </si>
  <si>
    <t xml:space="preserve">DE, FR, NL, BE, ES, IT. Derived from national registries: KBA 2.03m BEV (Jan-2026), Avere-France, RDW, ANFAC/DGT 0.69m BEV+PHEV, Motus-E, Statbel. Country definitions are not consistent — see the gaps note.</t>
  </si>
  <si>
    <t xml:space="preserve">B. Verdal footprint and volume</t>
  </si>
  <si>
    <t xml:space="preserve">Supermarkets in the six countries</t>
  </si>
  <si>
    <t xml:space="preserve">sites</t>
  </si>
  <si>
    <t xml:space="preserve">Verdal RfP, 15 July 2026, section 1.</t>
  </si>
  <si>
    <t xml:space="preserve">Convertible charging bays per site</t>
  </si>
  <si>
    <t xml:space="preserve">bays</t>
  </si>
  <si>
    <t xml:space="preserve">HYPOTHESIS</t>
  </si>
  <si>
    <t xml:space="preserve">NOT SUPPLIED BY THE CLIENT. Data-room request no.1. Every euro in this model scales off this cell.</t>
  </si>
  <si>
    <t xml:space="preserve">DC share of converted bays</t>
  </si>
  <si>
    <t xml:space="preserve">% of bays</t>
  </si>
  <si>
    <t xml:space="preserve">Placeholder mix. WP2 decides it on dwell time. Split here so the two economics are visible separately.</t>
  </si>
  <si>
    <t xml:space="preserve">Bays served per DC charger</t>
  </si>
  <si>
    <t xml:space="preserve">Dual-outlet DC units. ⚠ WORTH EUR19.6m ON ITS OWN: at four outlets per unit the charger count halves and the operate result moves from -EUR22.4m to about -EUR2.8m. It belongs in the sensitivity and it is not in it.</t>
  </si>
  <si>
    <t xml:space="preserve">DC throughput per bay</t>
  </si>
  <si>
    <t xml:space="preserve">kWh/bay/day, 2030</t>
  </si>
  <si>
    <t xml:space="preserve">No European source publishes kWh/charger/day at grocery or destination sites. US destination data (Paren.app: median 42 sessions/day at grocery-adjacent fast chargers) is not transferable. Modelled — see tab 5 for what it would have to be.</t>
  </si>
  <si>
    <t xml:space="preserve">AC throughput per bay</t>
  </si>
  <si>
    <t xml:space="preserve">Modelled. European average AC session ~20 kWh (EAFO-derived); implies a little over one session per bay per day.</t>
  </si>
  <si>
    <t xml:space="preserve">C. Prices and costs, per kWh</t>
  </si>
  <si>
    <t xml:space="preserve">DC retail price, blended six countries</t>
  </si>
  <si>
    <t xml:space="preserve">€/kWh</t>
  </si>
  <si>
    <t xml:space="preserve">Eleport/EVwire European DC ad-hoc price report, data Feb-2026: DE 0.59, FR 0.52, NL 0.69, BE 0.69, ES ~0.50, IT 0.71. Simple mean 0.62; 0.60 used.</t>
  </si>
  <si>
    <t xml:space="preserve">AC retail price, blended six countries</t>
  </si>
  <si>
    <t xml:space="preserve">ADAC survey, Feb-2026, 27 operators and 8,500 test charges: public AC 0.39-0.59 €/kWh in Germany. No equivalent survey found for the other five countries.</t>
  </si>
  <si>
    <t xml:space="preserve">Grocery-operator DC price, observed</t>
  </si>
  <si>
    <t xml:space="preserve">Lidl, Kaufland and ALDI price DC at €0.44/kWh in Germany and Lidl at €0.39/kWh in France (Eleport, Feb-2026) — materially below CPO levels. Used in the footfall scenario on tab 5, not in the base case.</t>
  </si>
  <si>
    <t xml:space="preserve">Wholesale + network electricity cost</t>
  </si>
  <si>
    <t xml:space="preserve">Eurostat non-household electricity price, band IC (500-2,000 MWh/yr), incl. taxes, H2-2025: EU average €0.1837/kWh; Germany €0.2264; Italy €0.2336. https://ec.europa.eu/eurostat/web/products-eurostat-news/w/ddn-20260508-2</t>
  </si>
  <si>
    <t xml:space="preserve">Grid capacity / demand-charge adder</t>
  </si>
  <si>
    <t xml:space="preserve">NOT PUBLISHED FOR ANY OF THE SIX COUNTRIES. Medium-voltage connection and capacity charges are set by national regulators and are not aggregated. The largest single hole in the operate-side cost build.</t>
  </si>
  <si>
    <t xml:space="preserve">Payment, software and network costs</t>
  </si>
  <si>
    <t xml:space="preserve">% of gross revenue</t>
  </si>
  <si>
    <t xml:space="preserve">No EV-charging-specific disclosure found. Covers card processing, roaming and back-office.</t>
  </si>
  <si>
    <t xml:space="preserve">D. Fixed costs of operating</t>
  </si>
  <si>
    <t xml:space="preserve">DC charger opex, per charger a year</t>
  </si>
  <si>
    <t xml:space="preserve">€/charger/yr</t>
  </si>
  <si>
    <t xml:space="preserve">Interpath, 'European EV Charging', May 2026: €18,000-20,000 annual opex per charger, quoted as an advisory modelling assumption rather than an operator disclosure.</t>
  </si>
  <si>
    <t xml:space="preserve">AC point opex, per point a year</t>
  </si>
  <si>
    <t xml:space="preserve">€/point/yr</t>
  </si>
  <si>
    <t xml:space="preserve">No published figure. AC units carry far lower maintenance and no active cooling.</t>
  </si>
  <si>
    <t xml:space="preserve">DC charger capex, installed</t>
  </si>
  <si>
    <t xml:space="preserve">€/charger</t>
  </si>
  <si>
    <t xml:space="preserve">Interpath, May 2026: EUR150,000-250,000 all-in per HIGH-POWER charger. ⚠ THIS IS A HIGHWAY-GRADE SPEC AND IT DECIDES THE OPERATE CASE. On a destination-grade unit (2 x 75 kW, c. EUR80,000 installed, c. EUR8,000/yr opex) the operate result moves from -EUR22.4m to about break-even AT THE SAME THROUGHPUT. Change C28 and C30 together to test it. WP2 chooses the spec; WP1 must not pre-empt it.</t>
  </si>
  <si>
    <t xml:space="preserve">AC point capex, installed</t>
  </si>
  <si>
    <t xml:space="preserve">€/point</t>
  </si>
  <si>
    <t xml:space="preserve">Anchored on subsidy-scheme eligible ceilings (Spain MOVES III: up to €15,000/port for DC fast). No European AC operator disclosure found.</t>
  </si>
  <si>
    <t xml:space="preserve">Grid connection, per site</t>
  </si>
  <si>
    <t xml:space="preserve">€/site</t>
  </si>
  <si>
    <t xml:space="preserve">Published range €10,000-500,000 per DC site depending on local grid conditions. Mid-point taken. Wide by nature.</t>
  </si>
  <si>
    <t xml:space="preserve">DC asset life</t>
  </si>
  <si>
    <t xml:space="preserve">years</t>
  </si>
  <si>
    <t xml:space="preserve">Interpath, May 2026: 12-year life in its European charging model.</t>
  </si>
  <si>
    <t xml:space="preserve">AC asset life</t>
  </si>
  <si>
    <t xml:space="preserve">Modelled.</t>
  </si>
  <si>
    <t xml:space="preserve">Grid connection life</t>
  </si>
  <si>
    <t xml:space="preserve">E. Site-host commercial terms</t>
  </si>
  <si>
    <t xml:space="preserve">Lease fee received today, per bay</t>
  </si>
  <si>
    <t xml:space="preserve">€/bay/yr</t>
  </si>
  <si>
    <t xml:space="preserve">NOT SUPPLIED BY THE CLIENT. The only European per-bay benchmark found is Savills (UK): £3,000-5,000 per bay per year, or a 5% revenue share, or a 20% profit share — UK-only, and CONTESTED between two of our own research passes (one read it at source, one could not render the page). Treated as Probable, not Verified. At that range the lease would earn €13-22m a year and would already beat every alternative on this model — which is exactly why the two actual agreements are data-room request no.2.</t>
  </si>
  <si>
    <t xml:space="preserve">Revenue share, if renegotiated</t>
  </si>
  <si>
    <t xml:space="preserve">% of gross charging revenue</t>
  </si>
  <si>
    <t xml:space="preserve">An industry description puts host revenue shares at 10-25% of gross. No named operator — Powerdot, Electra, Atlante, Zunder — discloses its actual percentage. Powerdot's published retail model (E.Leclerc, Carrefour, Intermarché, Biedronka) confirms a revenue share exists but gives no number.</t>
  </si>
  <si>
    <t xml:space="preserve">F. The figure under test</t>
  </si>
  <si>
    <t xml:space="preserve">Board paper: European EV charging market, 2030</t>
  </si>
  <si>
    <t xml:space="preserve">€m</t>
  </si>
  <si>
    <t xml:space="preserve">Client input — under test</t>
  </si>
  <si>
    <t xml:space="preserve">Verdal Board paper, June 2026, quoted in the RfP. An input to be tested, not a fact to reproduce.</t>
  </si>
  <si>
    <t xml:space="preserve">⚠ The lease fee decides the answer. €1,500 a bay a year is OUR placeholder. At the contested Savills UK range (£3,000-5,000 a bay) today's lease earns more than a 15% revenue share and far more than self-operation — the recommendation flips. Do not present the uplift on slide 11 without the real fee, or without saying that this is what it turns on.</t>
  </si>
  <si>
    <t xml:space="preserve">⚠ Two equipment assumptions, not demand, decide the operate case. Charger spec (C30/C28) and bays per charger (C17) between them move the result by more than the entire throughput range tested on tab 5. Neither is a Verdal figure and neither is settled — WP2 settles them. Read the operate column as conditional on a high-power spec, never as a verdict on charging at Verdal's car parks.</t>
  </si>
  <si>
    <t xml:space="preserve">Top-down funnel — from European electricity to grocery destination charging in the six countries</t>
  </si>
  <si>
    <t xml:space="preserve">Every step states its basis and its confidence. Three of the six steps are our judgement, not a published split — they are marked and they are where the answer is soft.</t>
  </si>
  <si>
    <t xml:space="preserve">Step</t>
  </si>
  <si>
    <t xml:space="preserve">Operation</t>
  </si>
  <si>
    <t xml:space="preserve">Result</t>
  </si>
  <si>
    <t xml:space="preserve">Unit</t>
  </si>
  <si>
    <t xml:space="preserve">Confidence of the step</t>
  </si>
  <si>
    <t xml:space="preserve">Basis</t>
  </si>
  <si>
    <t xml:space="preserve">European electricity demand, 2030</t>
  </si>
  <si>
    <t xml:space="preserve">start</t>
  </si>
  <si>
    <t xml:space="preserve">TWh</t>
  </si>
  <si>
    <t xml:space="preserve">2025 actual 2,790 TWh (Ember, derived) grown at 1.5% a year. The growth rate is a placeholder and barely moves the answer.</t>
  </si>
  <si>
    <t xml:space="preserve">× EV share of European electricity, 2030</t>
  </si>
  <si>
    <t xml:space="preserve">× 4.3%</t>
  </si>
  <si>
    <t xml:space="preserve">IEA Global EV Outlook 2025, Stated Policies: EVs reach 4.3% of European electricity demand in 2030, up from 1.0% in 2024.</t>
  </si>
  <si>
    <t xml:space="preserve">× public charging share of EV kWh</t>
  </si>
  <si>
    <t xml:space="preserve">× 30%</t>
  </si>
  <si>
    <t xml:space="preserve">IEA: the majority of charging stays at home and at work. ~70/30 is the commonly cited European split. No authoritative published kWh split exists — this is the first soft step.</t>
  </si>
  <si>
    <t xml:space="preserve">× destination share of public kWh</t>
  </si>
  <si>
    <t xml:space="preserve">× 22%</t>
  </si>
  <si>
    <t xml:space="preserve">36% of European public charge POINTS are semi-public / destination. We cut it to 22% of kWh because destination points are overwhelmingly AC and turn far less energy. No published kWh split by location type exists anywhere in Europe. Second soft step.</t>
  </si>
  <si>
    <t xml:space="preserve">× grocery share of destination kWh</t>
  </si>
  <si>
    <t xml:space="preserve">No European source publishes a grocery split of destination charging. Judgement against shopping centres, workplace, hotels, leisure and public car parks. Third soft step.</t>
  </si>
  <si>
    <t xml:space="preserve">× six countries' share of European EVs</t>
  </si>
  <si>
    <t xml:space="preserve">× 57%</t>
  </si>
  <si>
    <t xml:space="preserve">DE, FR, NL, BE, ES, IT. Derived from national registries; country parc definitions are not consistent and need reconciliation against EAFO.</t>
  </si>
  <si>
    <t xml:space="preserve">Value of that pool, at each perimeter level</t>
  </si>
  <si>
    <t xml:space="preserve">Level</t>
  </si>
  <si>
    <t xml:space="preserve">Whose revenue it is</t>
  </si>
  <si>
    <t xml:space="preserve">2. Energy throughput value — ALL European public charging</t>
  </si>
  <si>
    <t xml:space="preserve">Mostly the energy supplier</t>
  </si>
  <si>
    <t xml:space="preserve">€m/yr</t>
  </si>
  <si>
    <t xml:space="preserve">European public charging TWh × blended retail price. This is what a customer pays at the plug across all of European public charging — not what any one party earns.</t>
  </si>
  <si>
    <t xml:space="preserve">3. Charge-point operator revenue — grocery destination, six countries</t>
  </si>
  <si>
    <t xml:space="preserve">The operator</t>
  </si>
  <si>
    <t xml:space="preserve">The gross billing of every operator in the segment Verdal sits in. Verdal is not the operator today, and would not be all of it if it were.</t>
  </si>
  <si>
    <t xml:space="preserve">4. Site-host margin available to Verdal</t>
  </si>
  <si>
    <t xml:space="preserve">Verdal</t>
  </si>
  <si>
    <t xml:space="preserve">The best of the three commercial structures on tab 3, at base-case assumptions. This is Verdal's level and it is the only one of the four that is Verdal's money.</t>
  </si>
  <si>
    <t xml:space="preserve">Note on the funnel. Three of its six steps — public share of kWh, destination share of public kWh, grocery share of destination — are not published anywhere in Europe as kWh splits. Only point counts are published, and points are a poor proxy for energy because an AC destination point turns a fraction of what a highway DC point turns. The funnel is therefore a bounding exercise, not a measurement, and the bottom-up build on tab 2 is the primary estimate. Sources: IEA Global EV Outlook 2025; Ember European Electricity Review 2026; EAFO; national charge-point registries (Bundesnetzagentur, Avere-France, RDW, ANFAC, Motus-E).</t>
  </si>
  <si>
    <t xml:space="preserve">Sanity check worth noticing. Our own funnel puts the 2030 energy-throughput value of ALL European public charging at roughly €20bn a year — the same order of magnitude as the Board's €25bn, built independently and from published sources. That is the most likely thing a €25bn European charging figure measures: what customers pay at the plug across the whole continent, of which the great majority passes straight through to the energy supplier. It is four perimeter levels away from what a grocery site host keeps.</t>
  </si>
  <si>
    <t xml:space="preserve">Verdal volume — bottom-up from 1,100 sites, on one replaceable assumption</t>
  </si>
  <si>
    <t xml:space="preserve">The bay count is not a Verdal figure. It has not been supplied. It is the first line of the data-room request and the single input every euro below scales from.</t>
  </si>
  <si>
    <t xml:space="preserve">Line</t>
  </si>
  <si>
    <t xml:space="preserve">Formula / basis</t>
  </si>
  <si>
    <t xml:space="preserve">Verdal RfP, 15 July 2026 — VERIFIED</t>
  </si>
  <si>
    <t xml:space="preserve">NOT SUPPLIED — HYPOTHESIS. Change Assumptions!C15 and the whole model moves.</t>
  </si>
  <si>
    <t xml:space="preserve">Total convertible bays</t>
  </si>
  <si>
    <t xml:space="preserve">Sites × bays per site</t>
  </si>
  <si>
    <t xml:space="preserve">DC bays</t>
  </si>
  <si>
    <t xml:space="preserve">At the placeholder 50/50 mix. WP2 decides the real mix on dwell time.</t>
  </si>
  <si>
    <t xml:space="preserve">AC bays</t>
  </si>
  <si>
    <t xml:space="preserve">Balance</t>
  </si>
  <si>
    <t xml:space="preserve">DC chargers required</t>
  </si>
  <si>
    <t xml:space="preserve">chargers</t>
  </si>
  <si>
    <t xml:space="preserve">Two bays per dual-outlet DC unit. This is the denominator the operate case lives or dies on.</t>
  </si>
  <si>
    <t xml:space="preserve">DC energy delivered</t>
  </si>
  <si>
    <t xml:space="preserve">GWh/yr</t>
  </si>
  <si>
    <t xml:space="preserve">DC bays × kWh per bay per day × 365</t>
  </si>
  <si>
    <t xml:space="preserve">AC energy delivered</t>
  </si>
  <si>
    <t xml:space="preserve">AC bays × kWh per bay per day × 365</t>
  </si>
  <si>
    <t xml:space="preserve">Total energy delivered, 2030</t>
  </si>
  <si>
    <t xml:space="preserve">The volume every euro on tab 3 is earned on</t>
  </si>
  <si>
    <t xml:space="preserve">Reconciliation — Verdal share of the six-country grocery destination pool</t>
  </si>
  <si>
    <t xml:space="preserve">% of pool</t>
  </si>
  <si>
    <t xml:space="preserve">Bottom-up volume against the top-down funnel. A figure far above ~10% would say the funnel is too tight or the throughput assumption too generous; far below ~2% would say the reverse. Both routes are assumption-led; agreeing they are the same order of magnitude is the most this reconciliation can prove.</t>
  </si>
  <si>
    <t xml:space="preserve">Three commercial structures, one volume — what Verdal actually earns per kWh</t>
  </si>
  <si>
    <t xml:space="preserve">Same energy, same prices. The difference is who carries the cost. All figures € million a year at 2030 volumes, unless stated.</t>
  </si>
  <si>
    <t xml:space="preserve">Lease the bays (today)</t>
  </si>
  <si>
    <t xml:space="preserve">Revenue share</t>
  </si>
  <si>
    <t xml:space="preserve">Operate</t>
  </si>
  <si>
    <t xml:space="preserve">VOLUME AND GROSS BILLING</t>
  </si>
  <si>
    <t xml:space="preserve">Energy delivered (GWh/yr)</t>
  </si>
  <si>
    <t xml:space="preserve">Identical across the three structures — tab 2</t>
  </si>
  <si>
    <t xml:space="preserve">Gross charging revenue at the plug (€m)</t>
  </si>
  <si>
    <t xml:space="preserve">DC GWh × €0.60 + AC GWh × €0.45. Blended European DC ad-hoc prices, Eleport Feb-2026; German AC range, ADAC Feb-2026.</t>
  </si>
  <si>
    <t xml:space="preserve">WHAT VERDAL RECEIVES</t>
  </si>
  <si>
    <t xml:space="preserve">Lease fee</t>
  </si>
  <si>
    <t xml:space="preserve">-</t>
  </si>
  <si>
    <t xml:space="preserve">Bays × €1,500 a bay a year. THE FEE IS NOT KNOWN — no European property adviser publishes a benchmark and Verdal has not supplied its two agreements. Data-room request no.2.</t>
  </si>
  <si>
    <t xml:space="preserve">15% of gross. Industry description puts host shares at 10-25%; no named operator discloses its actual percentage.</t>
  </si>
  <si>
    <t xml:space="preserve">Gross charging revenue</t>
  </si>
  <si>
    <t xml:space="preserve">Verdal bills the customer directly</t>
  </si>
  <si>
    <t xml:space="preserve">WHAT VERDAL PAYS</t>
  </si>
  <si>
    <t xml:space="preserve">Electricity, wholesale + network</t>
  </si>
  <si>
    <t xml:space="preserve">Eurostat non-household band IC, incl. taxes, H2-2025: EU €0.1837/kWh.</t>
  </si>
  <si>
    <t xml:space="preserve">Grid capacity and demand charges</t>
  </si>
  <si>
    <t xml:space="preserve">NOT PUBLISHED IN ANY OF THE SIX COUNTRIES. €0.04/kWh assumed. The largest hole in this column.</t>
  </si>
  <si>
    <t xml:space="preserve">Payment, software and roaming</t>
  </si>
  <si>
    <t xml:space="preserve">5% of gross. No EV-charging-specific disclosure found.</t>
  </si>
  <si>
    <t xml:space="preserve">Charger operations and maintenance</t>
  </si>
  <si>
    <t xml:space="preserve">DC €19,000 per charger a year (Interpath, May 2026); AC €1,500 per point, modelled.</t>
  </si>
  <si>
    <t xml:space="preserve">Charger capital, amortised</t>
  </si>
  <si>
    <t xml:space="preserve">DC €200,000 per charger over 12 years (Interpath range €150-250k; Deutschlandnetz ≈ €250k per point). AC €6,000 over 10 years.</t>
  </si>
  <si>
    <t xml:space="preserve">Grid connection, amortised</t>
  </si>
  <si>
    <t xml:space="preserve">€60,000 a site over 15 years. Published range €10,000-500,000 — wide by nature.</t>
  </si>
  <si>
    <t xml:space="preserve">VERDAL'S ANNUAL RESULT (€m)</t>
  </si>
  <si>
    <t xml:space="preserve">The line the Board is deciding on</t>
  </si>
  <si>
    <t xml:space="preserve">Per kWh delivered (€/kWh)</t>
  </si>
  <si>
    <t xml:space="preserve">The result divided by the same energy. This is the comparison the Board paper does not make.</t>
  </si>
  <si>
    <t xml:space="preserve">Best of the three (€m)</t>
  </si>
  <si>
    <t xml:space="preserve">Carried to the perimeter bridge on tab 4</t>
  </si>
  <si>
    <t xml:space="preserve">Uplift of the best structure over today's lease (€m)</t>
  </si>
  <si>
    <t xml:space="preserve">THE ACTUAL PRIZE. Not the gap between a lease fee and gross charging revenue, which is the comparison the Board paper implicitly makes.</t>
  </si>
  <si>
    <t xml:space="preserve">Read this tab with the lease fee in mind. €1,500 a bay a year is OUR assumption, not Verdal's figure — no European property adviser publishes a benchmark and the two agreements have not been supplied. The uplift line is therefore only as good as that cell. What does NOT depend on it: self-operation is deeply negative at base-case throughput, and a revenue share is the only structure that improves on a lease without taking on operating risk.</t>
  </si>
  <si>
    <t xml:space="preserve">The Board's €25bn and Verdal's number, on the same page</t>
  </si>
  <si>
    <t xml:space="preserve">Four levels. Each is a real magnitude for a real thing. Only the fourth is Verdal's money.</t>
  </si>
  <si>
    <t xml:space="preserve">Perimeter level</t>
  </si>
  <si>
    <t xml:space="preserve">What it measures</t>
  </si>
  <si>
    <t xml:space="preserve">Value (€m a year)</t>
  </si>
  <si>
    <t xml:space="preserve">Ratio to European plug revenue (annual flow)</t>
  </si>
  <si>
    <t xml:space="preserve">What it is not</t>
  </si>
  <si>
    <t xml:space="preserve">1. Infrastructure capex — Europe</t>
  </si>
  <si>
    <t xml:space="preserve">Hardware, installation and grid connection across every site type in Europe, including highway corridors and fleet depots. ⚠ A CUMULATIVE BUILD-OUT MAGNITUDE, shown here for reference only — it is not an annual flow and it must not be divided into one.</t>
  </si>
  <si>
    <t xml:space="preserve">—</t>
  </si>
  <si>
    <t xml:space="preserve">Not revenue. Equipment makers' and installers' money. The construction most consistent with a €25bn European 2030 figure.</t>
  </si>
  <si>
    <t xml:space="preserve">2. Energy throughput value — all European public charging</t>
  </si>
  <si>
    <t xml:space="preserve">The full value of electricity delivered through every public charge point in Europe</t>
  </si>
  <si>
    <t xml:space="preserve">Mostly a pass-through to the energy supplier. Nobody in the chain keeps this.</t>
  </si>
  <si>
    <t xml:space="preserve">3. Operator revenue — grocery destination, six countries</t>
  </si>
  <si>
    <t xml:space="preserve">What every charge-point operator bills, gross, in the segment Verdal actually sits in</t>
  </si>
  <si>
    <t xml:space="preserve">Not Verdal's, and not Verdal's even under self-operation — this is the whole segment, all operators.</t>
  </si>
  <si>
    <t xml:space="preserve">4. Site-host margin — Verdal</t>
  </si>
  <si>
    <t xml:space="preserve">What Verdal keeps, under the best of the three commercial structures</t>
  </si>
  <si>
    <t xml:space="preserve">This is the number that belongs on the Board's page.</t>
  </si>
  <si>
    <t xml:space="preserve">The Board is not wrong to have quoted €25bn.</t>
  </si>
  <si>
    <t xml:space="preserve">It is a real published magnitude for a real thing. The finding is that it measures a different thing from what Verdal would earn — a perimeter difference, not an error.</t>
  </si>
  <si>
    <t xml:space="preserve">Compare like with like: Verdal's €7.1m a year is about 1/2,850th of the €20.4bn a year paid at the plug across European public charging. The Board's €25bn is a cumulative build-out magnitude and is NOT divided into an annual margin anywhere in this model.</t>
  </si>
  <si>
    <t xml:space="preserve">Three drivers move the answer. One of them decides whether self-operation works at all.</t>
  </si>
  <si>
    <t xml:space="preserve">Everything below recalculates from the Assumptions tab. The break-even is a closed-form solve, not a hardcoded number.</t>
  </si>
  <si>
    <t xml:space="preserve">A. Break-even — what DC throughput self-operation actually requires</t>
  </si>
  <si>
    <t xml:space="preserve">Contribution per DC kWh, after payment costs</t>
  </si>
  <si>
    <t xml:space="preserve">Retail price less payment costs, less wholesale-plus-network, less the grid capacity adder.</t>
  </si>
  <si>
    <t xml:space="preserve">Fixed cost of the DC estate, a year</t>
  </si>
  <si>
    <t xml:space="preserve">Charger opex, charger capital amortised, and the whole grid-connection charge carried by DC.</t>
  </si>
  <si>
    <t xml:space="preserve">DC energy needed to break even</t>
  </si>
  <si>
    <t xml:space="preserve">Fixed cost divided by contribution per kWh.</t>
  </si>
  <si>
    <t xml:space="preserve">Break-even DC throughput per bay</t>
  </si>
  <si>
    <t xml:space="preserve">kWh/bay/day</t>
  </si>
  <si>
    <t xml:space="preserve">The number a Verdal car park would have to turn, every day, for self-operation to clear its own costs.</t>
  </si>
  <si>
    <t xml:space="preserve">Base-case DC throughput per bay</t>
  </si>
  <si>
    <t xml:space="preserve">Our modelled assumption — HYPOTHESIS, tab Assumptions.</t>
  </si>
  <si>
    <t xml:space="preserve">Gap to break-even</t>
  </si>
  <si>
    <t xml:space="preserve">%</t>
  </si>
  <si>
    <t xml:space="preserve">How much more energy each bay must turn than the base case assumes.</t>
  </si>
  <si>
    <t xml:space="preserve">For reference: Fastned, FY2025</t>
  </si>
  <si>
    <t xml:space="preserve">kWh/station/day</t>
  </si>
  <si>
    <t xml:space="preserve">183.0 GWh across 406 stations, FY2025 — a highway ultra-fast operator, the hardest-working comparator in Europe. Divided across a typical multi-bay station this is roughly 150-200 kWh per bay per day. VERIFIED (Fastned FY2025 results).</t>
  </si>
  <si>
    <t xml:space="preserve">B. Operate result (€m a year) — bays per site against DC throughput</t>
  </si>
  <si>
    <t xml:space="preserve">Read: with 4 bays a site and 80 kWh a bay a day, self-operation loses money. The table shows what it takes to change that.</t>
  </si>
  <si>
    <t xml:space="preserve">Bays per site  ↓   /   DC kWh per bay per day  →</t>
  </si>
  <si>
    <t xml:space="preserve">C. The three drivers, ranked</t>
  </si>
  <si>
    <t xml:space="preserve">Driver</t>
  </si>
  <si>
    <t xml:space="preserve">Base case</t>
  </si>
  <si>
    <t xml:space="preserve">Range tested</t>
  </si>
  <si>
    <t xml:space="preserve">Why it moves the answer</t>
  </si>
  <si>
    <t xml:space="preserve">40 to 160 kWh/bay/day</t>
  </si>
  <si>
    <t xml:space="preserve">Decides whether self-operation clears its fixed costs at all. Not published for any European grocery site — the single most important number to establish, and it is an interview and pilot question, not a desk-research one.</t>
  </si>
  <si>
    <t xml:space="preserve">Convertible bays per site</t>
  </si>
  <si>
    <t xml:space="preserve">2 to 8 bays</t>
  </si>
  <si>
    <t xml:space="preserve">Scales every euro linearly, in all three structures. Verdal holds this figure; it is data-room request no.1.</t>
  </si>
  <si>
    <t xml:space="preserve">Contribution per kWh</t>
  </si>
  <si>
    <t xml:space="preserve">€0.25 to €0.45</t>
  </si>
  <si>
    <t xml:space="preserve">Retail price less delivered energy cost. The grid capacity component is not published in any of the six countries, so the low end of this range is not a pessimistic case — it is an unmeasured one.</t>
  </si>
  <si>
    <t xml:space="preserve">The counterargument this model deliberately does not price. Grocery chains that already operate charging price it below charge-point-operator levels — Lidl, Kaufland and ALDI at €0.44/kWh in Germany, Lidl at €0.39/kWh in France, against a six-country DC median of €0.60 (Eleport, Feb-2026). They are not trying to earn the charging margin; they are buying footfall and basket. If that is the real logic, the charging P&amp;L above is the wrong test, and the right one is the incremental basket per charging visit — which no European retailer discloses and which Verdal could measure in a pilot. This is carried into WP5 as the fourth option alongside build, buy and partner.</t>
  </si>
</sst>
</file>

<file path=xl/styles.xml><?xml version="1.0" encoding="utf-8"?>
<styleSheet xmlns="http://schemas.openxmlformats.org/spreadsheetml/2006/main">
  <numFmts count="8">
    <numFmt numFmtId="164" formatCode="General"/>
    <numFmt numFmtId="165" formatCode="#,##0;\(#,##0\);\-"/>
    <numFmt numFmtId="166" formatCode="0.0%"/>
    <numFmt numFmtId="167" formatCode="\€#,##0.00;&quot;(€&quot;#,##0.00\);\-"/>
    <numFmt numFmtId="168" formatCode="\€#,##0;&quot;(€&quot;#,##0\);\-"/>
    <numFmt numFmtId="169" formatCode="#,##0.0;\(#,##0.0\);\-"/>
    <numFmt numFmtId="170" formatCode="\€#,##0.0;&quot;(€&quot;#,##0.0\);\-"/>
    <numFmt numFmtId="171" formatCode="0.00%"/>
  </numFmts>
  <fonts count="17">
    <font>
      <sz val="11"/>
      <color theme="1"/>
      <name val="Calibri"/>
      <family val="2"/>
      <charset val="1"/>
    </font>
    <font>
      <sz val="10"/>
      <name val="Arial"/>
      <family val="0"/>
    </font>
    <font>
      <sz val="10"/>
      <name val="Arial"/>
      <family val="0"/>
    </font>
    <font>
      <sz val="10"/>
      <name val="Arial"/>
      <family val="0"/>
    </font>
    <font>
      <b val="true"/>
      <sz val="14"/>
      <color rgb="FF1F3864"/>
      <name val="Arial"/>
      <family val="0"/>
      <charset val="1"/>
    </font>
    <font>
      <i val="true"/>
      <sz val="8"/>
      <color rgb="FF808080"/>
      <name val="Arial"/>
      <family val="0"/>
      <charset val="1"/>
    </font>
    <font>
      <b val="true"/>
      <sz val="10"/>
      <name val="Arial"/>
      <family val="0"/>
      <charset val="1"/>
    </font>
    <font>
      <sz val="10"/>
      <name val="Arial"/>
      <family val="0"/>
      <charset val="1"/>
    </font>
    <font>
      <b val="true"/>
      <sz val="10"/>
      <color rgb="FFC00000"/>
      <name val="Arial"/>
      <family val="0"/>
      <charset val="1"/>
    </font>
    <font>
      <b val="true"/>
      <sz val="10"/>
      <color rgb="FFFFFFFF"/>
      <name val="Arial"/>
      <family val="0"/>
      <charset val="1"/>
    </font>
    <font>
      <b val="true"/>
      <sz val="11"/>
      <color rgb="FF1F3864"/>
      <name val="Arial"/>
      <family val="0"/>
      <charset val="1"/>
    </font>
    <font>
      <sz val="10"/>
      <color rgb="FF0000FF"/>
      <name val="Arial"/>
      <family val="0"/>
      <charset val="1"/>
    </font>
    <font>
      <sz val="10"/>
      <color rgb="FF000000"/>
      <name val="Arial"/>
      <family val="0"/>
      <charset val="1"/>
    </font>
    <font>
      <sz val="8"/>
      <color rgb="FF808080"/>
      <name val="Arial"/>
      <family val="0"/>
      <charset val="1"/>
    </font>
    <font>
      <b val="true"/>
      <sz val="9"/>
      <color rgb="FFC00000"/>
      <name val="Arial"/>
      <family val="0"/>
      <charset val="1"/>
    </font>
    <font>
      <b val="true"/>
      <sz val="9"/>
      <color rgb="FF1F3864"/>
      <name val="Arial"/>
      <family val="0"/>
      <charset val="1"/>
    </font>
    <font>
      <sz val="8"/>
      <color rgb="FFC00000"/>
      <name val="Arial"/>
      <family val="0"/>
      <charset val="1"/>
    </font>
  </fonts>
  <fills count="6">
    <fill>
      <patternFill patternType="none"/>
    </fill>
    <fill>
      <patternFill patternType="gray125"/>
    </fill>
    <fill>
      <patternFill patternType="solid">
        <fgColor rgb="FF1F3864"/>
        <bgColor rgb="FF333333"/>
      </patternFill>
    </fill>
    <fill>
      <patternFill patternType="solid">
        <fgColor rgb="FFF2F2F2"/>
        <bgColor rgb="FFDDEBF7"/>
      </patternFill>
    </fill>
    <fill>
      <patternFill patternType="solid">
        <fgColor rgb="FFFFFF00"/>
        <bgColor rgb="FFFFFF00"/>
      </patternFill>
    </fill>
    <fill>
      <patternFill patternType="solid">
        <fgColor rgb="FFDDEBF7"/>
        <bgColor rgb="FFF2F2F2"/>
      </patternFill>
    </fill>
  </fills>
  <borders count="2">
    <border diagonalUp="false" diagonalDown="false">
      <left/>
      <right/>
      <top/>
      <bottom/>
      <diagonal/>
    </border>
    <border diagonalUp="false" diagonalDown="false">
      <left style="thin">
        <color rgb="FFBFBFBF"/>
      </left>
      <right style="thin">
        <color rgb="FFBFBFBF"/>
      </right>
      <top style="thin">
        <color rgb="FFBFBFBF"/>
      </top>
      <bottom style="thin">
        <color rgb="FFBFBFBF"/>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54">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general" vertical="bottom" textRotation="0" wrapText="false" indent="0" shrinkToFit="false"/>
      <protection locked="true" hidden="false"/>
    </xf>
    <xf numFmtId="164" fontId="5" fillId="0" borderId="0" xfId="0" applyFont="true" applyBorder="false" applyAlignment="true" applyProtection="false">
      <alignment horizontal="general" vertical="bottom" textRotation="0" wrapText="false" indent="0" shrinkToFit="false"/>
      <protection locked="true" hidden="false"/>
    </xf>
    <xf numFmtId="164" fontId="6" fillId="0" borderId="0" xfId="0" applyFont="true" applyBorder="false" applyAlignment="true" applyProtection="false">
      <alignment horizontal="general" vertical="bottom" textRotation="0" wrapText="false" indent="0" shrinkToFit="false"/>
      <protection locked="true" hidden="false"/>
    </xf>
    <xf numFmtId="164" fontId="7" fillId="0" borderId="0" xfId="0" applyFont="true" applyBorder="false" applyAlignment="true" applyProtection="false">
      <alignment horizontal="general" vertical="top" textRotation="0" wrapText="true" indent="0" shrinkToFit="false"/>
      <protection locked="true" hidden="false"/>
    </xf>
    <xf numFmtId="164" fontId="7" fillId="0" borderId="0" xfId="0" applyFont="true" applyBorder="false" applyAlignment="true" applyProtection="false">
      <alignment horizontal="general" vertical="bottom" textRotation="0" wrapText="false" indent="0" shrinkToFit="false"/>
      <protection locked="true" hidden="false"/>
    </xf>
    <xf numFmtId="164" fontId="8" fillId="0" borderId="0" xfId="0" applyFont="true" applyBorder="false" applyAlignment="true" applyProtection="false">
      <alignment horizontal="general" vertical="bottom" textRotation="0" wrapText="false" indent="0" shrinkToFit="false"/>
      <protection locked="true" hidden="false"/>
    </xf>
    <xf numFmtId="164" fontId="9" fillId="2" borderId="1" xfId="0" applyFont="true" applyBorder="true" applyAlignment="true" applyProtection="false">
      <alignment horizontal="general" vertical="center" textRotation="0" wrapText="true" indent="0" shrinkToFit="false"/>
      <protection locked="true" hidden="false"/>
    </xf>
    <xf numFmtId="164" fontId="10" fillId="3" borderId="0" xfId="0" applyFont="true" applyBorder="true" applyAlignment="true" applyProtection="false">
      <alignment horizontal="general" vertical="bottom" textRotation="0" wrapText="false" indent="0" shrinkToFit="false"/>
      <protection locked="true" hidden="false"/>
    </xf>
    <xf numFmtId="164" fontId="7" fillId="0" borderId="1" xfId="0" applyFont="true" applyBorder="true" applyAlignment="true" applyProtection="false">
      <alignment horizontal="general" vertical="bottom" textRotation="0" wrapText="false" indent="0" shrinkToFit="false"/>
      <protection locked="true" hidden="false"/>
    </xf>
    <xf numFmtId="165" fontId="11" fillId="0" borderId="1" xfId="0" applyFont="true" applyBorder="true" applyAlignment="true" applyProtection="false">
      <alignment horizontal="general" vertical="bottom" textRotation="0" wrapText="false" indent="0" shrinkToFit="false"/>
      <protection locked="true" hidden="false"/>
    </xf>
    <xf numFmtId="164" fontId="12" fillId="0" borderId="1" xfId="0" applyFont="true" applyBorder="true" applyAlignment="true" applyProtection="false">
      <alignment horizontal="general" vertical="bottom" textRotation="0" wrapText="false" indent="0" shrinkToFit="false"/>
      <protection locked="true" hidden="false"/>
    </xf>
    <xf numFmtId="164" fontId="13" fillId="0" borderId="1" xfId="0" applyFont="true" applyBorder="true" applyAlignment="true" applyProtection="false">
      <alignment horizontal="general" vertical="top" textRotation="0" wrapText="true" indent="0" shrinkToFit="false"/>
      <protection locked="true" hidden="false"/>
    </xf>
    <xf numFmtId="166" fontId="11" fillId="4" borderId="1" xfId="0" applyFont="true" applyBorder="true" applyAlignment="true" applyProtection="false">
      <alignment horizontal="general" vertical="bottom" textRotation="0" wrapText="false" indent="0" shrinkToFit="false"/>
      <protection locked="true" hidden="false"/>
    </xf>
    <xf numFmtId="166" fontId="11" fillId="0" borderId="1" xfId="0" applyFont="true" applyBorder="true" applyAlignment="true" applyProtection="false">
      <alignment horizontal="general" vertical="bottom" textRotation="0" wrapText="false" indent="0" shrinkToFit="false"/>
      <protection locked="true" hidden="false"/>
    </xf>
    <xf numFmtId="165" fontId="11" fillId="4" borderId="1" xfId="0" applyFont="true" applyBorder="true" applyAlignment="true" applyProtection="false">
      <alignment horizontal="general" vertical="bottom" textRotation="0" wrapText="false" indent="0" shrinkToFit="false"/>
      <protection locked="true" hidden="false"/>
    </xf>
    <xf numFmtId="164" fontId="8" fillId="0" borderId="1" xfId="0" applyFont="true" applyBorder="true" applyAlignment="true" applyProtection="false">
      <alignment horizontal="general" vertical="bottom" textRotation="0" wrapText="false" indent="0" shrinkToFit="false"/>
      <protection locked="true" hidden="false"/>
    </xf>
    <xf numFmtId="167" fontId="11" fillId="0" borderId="1" xfId="0" applyFont="true" applyBorder="true" applyAlignment="true" applyProtection="false">
      <alignment horizontal="general" vertical="bottom" textRotation="0" wrapText="false" indent="0" shrinkToFit="false"/>
      <protection locked="true" hidden="false"/>
    </xf>
    <xf numFmtId="167" fontId="11" fillId="4" borderId="1" xfId="0" applyFont="true" applyBorder="true" applyAlignment="true" applyProtection="false">
      <alignment horizontal="general" vertical="bottom" textRotation="0" wrapText="false" indent="0" shrinkToFit="false"/>
      <protection locked="true" hidden="false"/>
    </xf>
    <xf numFmtId="168" fontId="11" fillId="0" borderId="1" xfId="0" applyFont="true" applyBorder="true" applyAlignment="true" applyProtection="false">
      <alignment horizontal="general" vertical="bottom" textRotation="0" wrapText="false" indent="0" shrinkToFit="false"/>
      <protection locked="true" hidden="false"/>
    </xf>
    <xf numFmtId="168" fontId="11" fillId="4" borderId="1" xfId="0" applyFont="true" applyBorder="true" applyAlignment="true" applyProtection="false">
      <alignment horizontal="general" vertical="bottom" textRotation="0" wrapText="false" indent="0" shrinkToFit="false"/>
      <protection locked="true" hidden="false"/>
    </xf>
    <xf numFmtId="164" fontId="14" fillId="0" borderId="0" xfId="0" applyFont="true" applyBorder="true" applyAlignment="true" applyProtection="false">
      <alignment horizontal="general" vertical="top" textRotation="0" wrapText="true" indent="0" shrinkToFit="false"/>
      <protection locked="true" hidden="false"/>
    </xf>
    <xf numFmtId="164" fontId="6" fillId="0" borderId="1" xfId="0" applyFont="true" applyBorder="true" applyAlignment="true" applyProtection="false">
      <alignment horizontal="general" vertical="bottom" textRotation="0" wrapText="false" indent="0" shrinkToFit="false"/>
      <protection locked="true" hidden="false"/>
    </xf>
    <xf numFmtId="169" fontId="7" fillId="0" borderId="1" xfId="0" applyFont="true" applyBorder="true" applyAlignment="true" applyProtection="false">
      <alignment horizontal="general" vertical="bottom" textRotation="0" wrapText="false" indent="0" shrinkToFit="false"/>
      <protection locked="true" hidden="false"/>
    </xf>
    <xf numFmtId="164" fontId="6" fillId="5" borderId="1" xfId="0" applyFont="true" applyBorder="true" applyAlignment="true" applyProtection="false">
      <alignment horizontal="general" vertical="bottom" textRotation="0" wrapText="false" indent="0" shrinkToFit="false"/>
      <protection locked="true" hidden="false"/>
    </xf>
    <xf numFmtId="164" fontId="7" fillId="5" borderId="1" xfId="0" applyFont="true" applyBorder="true" applyAlignment="true" applyProtection="false">
      <alignment horizontal="general" vertical="bottom" textRotation="0" wrapText="false" indent="0" shrinkToFit="false"/>
      <protection locked="true" hidden="false"/>
    </xf>
    <xf numFmtId="169" fontId="7" fillId="5" borderId="1" xfId="0" applyFont="true" applyBorder="true" applyAlignment="true" applyProtection="false">
      <alignment horizontal="general" vertical="bottom" textRotation="0" wrapText="false" indent="0" shrinkToFit="false"/>
      <protection locked="true" hidden="false"/>
    </xf>
    <xf numFmtId="164" fontId="13" fillId="5" borderId="1" xfId="0" applyFont="true" applyBorder="true" applyAlignment="true" applyProtection="false">
      <alignment horizontal="general" vertical="top" textRotation="0" wrapText="true" indent="0" shrinkToFit="false"/>
      <protection locked="true" hidden="false"/>
    </xf>
    <xf numFmtId="164" fontId="10" fillId="0" borderId="0" xfId="0" applyFont="true" applyBorder="false" applyAlignment="true" applyProtection="false">
      <alignment horizontal="general" vertical="bottom" textRotation="0" wrapText="false" indent="0" shrinkToFit="false"/>
      <protection locked="true" hidden="false"/>
    </xf>
    <xf numFmtId="170" fontId="7" fillId="0" borderId="1" xfId="0" applyFont="true" applyBorder="true" applyAlignment="true" applyProtection="false">
      <alignment horizontal="general" vertical="bottom" textRotation="0" wrapText="false" indent="0" shrinkToFit="false"/>
      <protection locked="true" hidden="false"/>
    </xf>
    <xf numFmtId="164" fontId="13" fillId="0" borderId="0" xfId="0" applyFont="true" applyBorder="false" applyAlignment="true" applyProtection="false">
      <alignment horizontal="general" vertical="top" textRotation="0" wrapText="true" indent="0" shrinkToFit="false"/>
      <protection locked="true" hidden="false"/>
    </xf>
    <xf numFmtId="164" fontId="15" fillId="0" borderId="0" xfId="0" applyFont="true" applyBorder="true" applyAlignment="true" applyProtection="false">
      <alignment horizontal="general" vertical="top" textRotation="0" wrapText="true" indent="0" shrinkToFit="false"/>
      <protection locked="true" hidden="false"/>
    </xf>
    <xf numFmtId="165" fontId="7" fillId="0" borderId="1" xfId="0" applyFont="true" applyBorder="true" applyAlignment="true" applyProtection="false">
      <alignment horizontal="general" vertical="bottom" textRotation="0" wrapText="false" indent="0" shrinkToFit="false"/>
      <protection locked="true" hidden="false"/>
    </xf>
    <xf numFmtId="165" fontId="7" fillId="4" borderId="1" xfId="0" applyFont="true" applyBorder="true" applyAlignment="true" applyProtection="false">
      <alignment horizontal="general" vertical="bottom" textRotation="0" wrapText="false" indent="0" shrinkToFit="false"/>
      <protection locked="true" hidden="false"/>
    </xf>
    <xf numFmtId="166" fontId="7" fillId="0" borderId="1" xfId="0" applyFont="true" applyBorder="true" applyAlignment="true" applyProtection="false">
      <alignment horizontal="general" vertical="bottom" textRotation="0" wrapText="false" indent="0" shrinkToFit="false"/>
      <protection locked="true" hidden="false"/>
    </xf>
    <xf numFmtId="164" fontId="10" fillId="3" borderId="0" xfId="0" applyFont="true" applyBorder="false" applyAlignment="true" applyProtection="false">
      <alignment horizontal="general" vertical="bottom" textRotation="0" wrapText="false" indent="0" shrinkToFit="false"/>
      <protection locked="true" hidden="false"/>
    </xf>
    <xf numFmtId="164" fontId="0" fillId="3" borderId="0" xfId="0" applyFont="false" applyBorder="false" applyAlignment="true" applyProtection="false">
      <alignment horizontal="general" vertical="bottom" textRotation="0" wrapText="false" indent="0" shrinkToFit="false"/>
      <protection locked="true" hidden="false"/>
    </xf>
    <xf numFmtId="169" fontId="7" fillId="0" borderId="1" xfId="0" applyFont="true" applyBorder="true" applyAlignment="true" applyProtection="false">
      <alignment horizontal="right" vertical="bottom" textRotation="0" wrapText="false" indent="0" shrinkToFit="false"/>
      <protection locked="true" hidden="false"/>
    </xf>
    <xf numFmtId="170" fontId="7" fillId="0" borderId="1" xfId="0" applyFont="true" applyBorder="true" applyAlignment="true" applyProtection="false">
      <alignment horizontal="right" vertical="bottom" textRotation="0" wrapText="false" indent="0" shrinkToFit="false"/>
      <protection locked="true" hidden="false"/>
    </xf>
    <xf numFmtId="167" fontId="7" fillId="5" borderId="1" xfId="0" applyFont="true" applyBorder="true" applyAlignment="true" applyProtection="false">
      <alignment horizontal="right" vertical="bottom" textRotation="0" wrapText="false" indent="0" shrinkToFit="false"/>
      <protection locked="true" hidden="false"/>
    </xf>
    <xf numFmtId="164" fontId="0" fillId="0" borderId="1" xfId="0" applyFont="false" applyBorder="true" applyAlignment="true" applyProtection="false">
      <alignment horizontal="general" vertical="bottom" textRotation="0" wrapText="false" indent="0" shrinkToFit="false"/>
      <protection locked="true" hidden="false"/>
    </xf>
    <xf numFmtId="164" fontId="16" fillId="5" borderId="0" xfId="0" applyFont="true" applyBorder="true" applyAlignment="true" applyProtection="false">
      <alignment horizontal="general" vertical="top" textRotation="0" wrapText="true" indent="0" shrinkToFit="false"/>
      <protection locked="true" hidden="false"/>
    </xf>
    <xf numFmtId="164" fontId="7" fillId="0" borderId="1" xfId="0" applyFont="true" applyBorder="true" applyAlignment="true" applyProtection="false">
      <alignment horizontal="general" vertical="top" textRotation="0" wrapText="true" indent="0" shrinkToFit="false"/>
      <protection locked="true" hidden="false"/>
    </xf>
    <xf numFmtId="171" fontId="7" fillId="0" borderId="1" xfId="0" applyFont="true" applyBorder="true" applyAlignment="true" applyProtection="false">
      <alignment horizontal="general" vertical="bottom" textRotation="0" wrapText="false" indent="0" shrinkToFit="false"/>
      <protection locked="true" hidden="false"/>
    </xf>
    <xf numFmtId="164" fontId="7" fillId="5" borderId="1" xfId="0" applyFont="true" applyBorder="true" applyAlignment="true" applyProtection="false">
      <alignment horizontal="general" vertical="top" textRotation="0" wrapText="true" indent="0" shrinkToFit="false"/>
      <protection locked="true" hidden="false"/>
    </xf>
    <xf numFmtId="170" fontId="7" fillId="5" borderId="1" xfId="0" applyFont="true" applyBorder="true" applyAlignment="true" applyProtection="false">
      <alignment horizontal="general" vertical="bottom" textRotation="0" wrapText="false" indent="0" shrinkToFit="false"/>
      <protection locked="true" hidden="false"/>
    </xf>
    <xf numFmtId="171" fontId="7" fillId="5" borderId="1" xfId="0" applyFont="true" applyBorder="true" applyAlignment="true" applyProtection="false">
      <alignment horizontal="general" vertical="bottom" textRotation="0" wrapText="false" indent="0" shrinkToFit="false"/>
      <protection locked="true" hidden="false"/>
    </xf>
    <xf numFmtId="164" fontId="7" fillId="0" borderId="0" xfId="0" applyFont="true" applyBorder="true" applyAlignment="true" applyProtection="false">
      <alignment horizontal="general" vertical="bottom" textRotation="0" wrapText="false" indent="0" shrinkToFit="false"/>
      <protection locked="true" hidden="false"/>
    </xf>
    <xf numFmtId="164" fontId="8" fillId="0" borderId="0" xfId="0" applyFont="true" applyBorder="true" applyAlignment="true" applyProtection="false">
      <alignment horizontal="general" vertical="top" textRotation="0" wrapText="true" indent="0" shrinkToFit="false"/>
      <protection locked="true" hidden="false"/>
    </xf>
    <xf numFmtId="167" fontId="7" fillId="0" borderId="1" xfId="0" applyFont="true" applyBorder="true" applyAlignment="true" applyProtection="false">
      <alignment horizontal="general" vertical="bottom" textRotation="0" wrapText="false" indent="0" shrinkToFit="false"/>
      <protection locked="true" hidden="false"/>
    </xf>
    <xf numFmtId="165" fontId="7" fillId="5" borderId="1" xfId="0" applyFont="true" applyBorder="true" applyAlignment="true" applyProtection="false">
      <alignment horizontal="general" vertical="bottom" textRotation="0" wrapText="false" indent="0" shrinkToFit="false"/>
      <protection locked="true" hidden="false"/>
    </xf>
    <xf numFmtId="164" fontId="9" fillId="2" borderId="1" xfId="0" applyFont="true" applyBorder="true" applyAlignment="true" applyProtection="false">
      <alignment horizontal="general" vertical="bottom" textRotation="0" wrapText="false" indent="0" shrinkToFit="false"/>
      <protection locked="true" hidden="false"/>
    </xf>
    <xf numFmtId="164" fontId="9" fillId="2" borderId="1" xfId="0" applyFont="true" applyBorder="true" applyAlignment="true" applyProtection="false">
      <alignment horizontal="center"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C0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2F2F2"/>
      <rgbColor rgb="FFDDEBF7"/>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1F3864"/>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B24"/>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1" width="26"/>
    <col collapsed="false" customWidth="true" hidden="false" outlineLevel="0" max="2" min="2" style="1" width="108"/>
  </cols>
  <sheetData>
    <row r="1" customFormat="false" ht="17.25" hidden="false" customHeight="true" outlineLevel="0" collapsed="false">
      <c r="A1" s="2" t="s">
        <v>0</v>
      </c>
    </row>
    <row r="2" customFormat="false" ht="15" hidden="false" customHeight="true" outlineLevel="0" collapsed="false">
      <c r="A2" s="3" t="s">
        <v>1</v>
      </c>
    </row>
    <row r="4" customFormat="false" ht="15" hidden="false" customHeight="true" outlineLevel="0" collapsed="false">
      <c r="A4" s="4" t="s">
        <v>2</v>
      </c>
      <c r="B4" s="5" t="s">
        <v>3</v>
      </c>
    </row>
    <row r="5" customFormat="false" ht="15" hidden="false" customHeight="true" outlineLevel="0" collapsed="false">
      <c r="A5" s="6"/>
      <c r="B5" s="5"/>
    </row>
    <row r="6" customFormat="false" ht="15" hidden="false" customHeight="true" outlineLevel="0" collapsed="false">
      <c r="A6" s="4" t="s">
        <v>4</v>
      </c>
      <c r="B6" s="5" t="s">
        <v>5</v>
      </c>
    </row>
    <row r="7" customFormat="false" ht="23.25" hidden="false" customHeight="true" outlineLevel="0" collapsed="false">
      <c r="A7" s="4" t="s">
        <v>6</v>
      </c>
      <c r="B7" s="5" t="s">
        <v>7</v>
      </c>
    </row>
    <row r="8" customFormat="false" ht="15" hidden="false" customHeight="true" outlineLevel="0" collapsed="false">
      <c r="A8" s="6"/>
      <c r="B8" s="5"/>
    </row>
    <row r="9" customFormat="false" ht="23.25" hidden="false" customHeight="true" outlineLevel="0" collapsed="false">
      <c r="A9" s="4" t="s">
        <v>8</v>
      </c>
      <c r="B9" s="5" t="s">
        <v>9</v>
      </c>
    </row>
    <row r="10" customFormat="false" ht="15" hidden="false" customHeight="true" outlineLevel="0" collapsed="false">
      <c r="A10" s="6"/>
      <c r="B10" s="5"/>
    </row>
    <row r="11" customFormat="false" ht="23.25" hidden="false" customHeight="true" outlineLevel="0" collapsed="false">
      <c r="A11" s="4" t="s">
        <v>10</v>
      </c>
      <c r="B11" s="5" t="s">
        <v>11</v>
      </c>
    </row>
    <row r="12" customFormat="false" ht="15" hidden="false" customHeight="true" outlineLevel="0" collapsed="false">
      <c r="A12" s="6"/>
      <c r="B12" s="5"/>
    </row>
    <row r="13" customFormat="false" ht="23.25" hidden="false" customHeight="true" outlineLevel="0" collapsed="false">
      <c r="A13" s="4" t="s">
        <v>12</v>
      </c>
      <c r="B13" s="5" t="s">
        <v>13</v>
      </c>
    </row>
    <row r="14" customFormat="false" ht="23.25" hidden="false" customHeight="true" outlineLevel="0" collapsed="false">
      <c r="A14" s="6"/>
      <c r="B14" s="5" t="s">
        <v>14</v>
      </c>
    </row>
    <row r="15" customFormat="false" ht="15" hidden="false" customHeight="true" outlineLevel="0" collapsed="false">
      <c r="A15" s="6"/>
      <c r="B15" s="5" t="s">
        <v>15</v>
      </c>
    </row>
    <row r="16" customFormat="false" ht="15" hidden="false" customHeight="true" outlineLevel="0" collapsed="false">
      <c r="A16" s="6"/>
      <c r="B16" s="5"/>
    </row>
    <row r="17" customFormat="false" ht="15" hidden="false" customHeight="true" outlineLevel="0" collapsed="false">
      <c r="A17" s="4" t="s">
        <v>16</v>
      </c>
      <c r="B17" s="5" t="s">
        <v>17</v>
      </c>
    </row>
    <row r="18" customFormat="false" ht="15" hidden="false" customHeight="true" outlineLevel="0" collapsed="false">
      <c r="A18" s="6"/>
      <c r="B18" s="5" t="s">
        <v>18</v>
      </c>
    </row>
    <row r="19" customFormat="false" ht="15" hidden="false" customHeight="true" outlineLevel="0" collapsed="false">
      <c r="A19" s="6"/>
      <c r="B19" s="5" t="s">
        <v>19</v>
      </c>
    </row>
    <row r="20" customFormat="false" ht="15" hidden="false" customHeight="true" outlineLevel="0" collapsed="false">
      <c r="A20" s="6"/>
      <c r="B20" s="5" t="s">
        <v>20</v>
      </c>
    </row>
    <row r="21" customFormat="false" ht="15" hidden="false" customHeight="true" outlineLevel="0" collapsed="false">
      <c r="A21" s="6"/>
      <c r="B21" s="5" t="s">
        <v>21</v>
      </c>
    </row>
    <row r="22" customFormat="false" ht="15" hidden="false" customHeight="true" outlineLevel="0" collapsed="false">
      <c r="A22" s="6"/>
      <c r="B22" s="5" t="s">
        <v>22</v>
      </c>
    </row>
    <row r="23" customFormat="false" ht="15" hidden="false" customHeight="true" outlineLevel="0" collapsed="false">
      <c r="A23" s="6"/>
      <c r="B23" s="5"/>
    </row>
    <row r="24" customFormat="false" ht="23.25" hidden="false" customHeight="true" outlineLevel="0" collapsed="false">
      <c r="A24" s="7" t="s">
        <v>23</v>
      </c>
      <c r="B24" s="5" t="s">
        <v>24</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4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customHeight="false" zeroHeight="false" outlineLevelRow="0" outlineLevelCol="0"/>
  <cols>
    <col collapsed="false" customWidth="true" hidden="false" outlineLevel="0" max="1" min="1" style="1" width="5"/>
    <col collapsed="false" customWidth="true" hidden="false" outlineLevel="0" max="2" min="2" style="1" width="46"/>
    <col collapsed="false" customWidth="true" hidden="false" outlineLevel="0" max="3" min="3" style="1" width="14"/>
    <col collapsed="false" customWidth="true" hidden="false" outlineLevel="0" max="4" min="4" style="1" width="26"/>
    <col collapsed="false" customWidth="true" hidden="false" outlineLevel="0" max="5" min="5" style="1" width="13"/>
    <col collapsed="false" customWidth="true" hidden="false" outlineLevel="0" max="6" min="6" style="1" width="74"/>
  </cols>
  <sheetData>
    <row r="1" customFormat="false" ht="17.25" hidden="false" customHeight="true" outlineLevel="0" collapsed="false">
      <c r="A1" s="2" t="s">
        <v>25</v>
      </c>
    </row>
    <row r="2" customFormat="false" ht="15" hidden="false" customHeight="true" outlineLevel="0" collapsed="false">
      <c r="A2" s="3" t="s">
        <v>26</v>
      </c>
    </row>
    <row r="4" customFormat="false" ht="30" hidden="false" customHeight="true" outlineLevel="0" collapsed="false">
      <c r="A4" s="8" t="s">
        <v>27</v>
      </c>
      <c r="B4" s="8" t="s">
        <v>28</v>
      </c>
      <c r="C4" s="8" t="s">
        <v>29</v>
      </c>
      <c r="D4" s="8" t="s">
        <v>30</v>
      </c>
      <c r="E4" s="8" t="s">
        <v>31</v>
      </c>
      <c r="F4" s="8" t="s">
        <v>32</v>
      </c>
    </row>
    <row r="5" customFormat="false" ht="15" hidden="false" customHeight="true" outlineLevel="0" collapsed="false">
      <c r="A5" s="9" t="s">
        <v>33</v>
      </c>
      <c r="B5" s="9"/>
      <c r="C5" s="9"/>
      <c r="D5" s="9"/>
      <c r="E5" s="9"/>
      <c r="F5" s="9"/>
    </row>
    <row r="6" customFormat="false" ht="30" hidden="false" customHeight="true" outlineLevel="0" collapsed="false">
      <c r="A6" s="10" t="n">
        <v>1</v>
      </c>
      <c r="B6" s="10" t="s">
        <v>34</v>
      </c>
      <c r="C6" s="11" t="n">
        <v>2790</v>
      </c>
      <c r="D6" s="10" t="s">
        <v>35</v>
      </c>
      <c r="E6" s="12" t="s">
        <v>36</v>
      </c>
      <c r="F6" s="13" t="s">
        <v>37</v>
      </c>
    </row>
    <row r="7" customFormat="false" ht="30" hidden="false" customHeight="true" outlineLevel="0" collapsed="false">
      <c r="A7" s="10" t="n">
        <v>2</v>
      </c>
      <c r="B7" s="10" t="s">
        <v>38</v>
      </c>
      <c r="C7" s="14" t="n">
        <v>0.015</v>
      </c>
      <c r="D7" s="10" t="s">
        <v>39</v>
      </c>
      <c r="E7" s="12" t="s">
        <v>40</v>
      </c>
      <c r="F7" s="13" t="s">
        <v>41</v>
      </c>
    </row>
    <row r="8" customFormat="false" ht="30" hidden="false" customHeight="true" outlineLevel="0" collapsed="false">
      <c r="A8" s="10" t="n">
        <v>3</v>
      </c>
      <c r="B8" s="10" t="s">
        <v>42</v>
      </c>
      <c r="C8" s="15" t="n">
        <v>0.043</v>
      </c>
      <c r="D8" s="10" t="s">
        <v>43</v>
      </c>
      <c r="E8" s="12" t="s">
        <v>44</v>
      </c>
      <c r="F8" s="13" t="s">
        <v>45</v>
      </c>
    </row>
    <row r="9" customFormat="false" ht="30" hidden="false" customHeight="true" outlineLevel="0" collapsed="false">
      <c r="A9" s="10" t="n">
        <v>4</v>
      </c>
      <c r="B9" s="10" t="s">
        <v>46</v>
      </c>
      <c r="C9" s="15" t="n">
        <v>0.3</v>
      </c>
      <c r="D9" s="10" t="s">
        <v>47</v>
      </c>
      <c r="E9" s="12" t="s">
        <v>36</v>
      </c>
      <c r="F9" s="13" t="s">
        <v>48</v>
      </c>
    </row>
    <row r="10" customFormat="false" ht="30" hidden="false" customHeight="true" outlineLevel="0" collapsed="false">
      <c r="A10" s="10" t="n">
        <v>5</v>
      </c>
      <c r="B10" s="10" t="s">
        <v>49</v>
      </c>
      <c r="C10" s="14" t="n">
        <v>0.22</v>
      </c>
      <c r="D10" s="10" t="s">
        <v>50</v>
      </c>
      <c r="E10" s="12" t="s">
        <v>40</v>
      </c>
      <c r="F10" s="13" t="s">
        <v>51</v>
      </c>
    </row>
    <row r="11" customFormat="false" ht="30" hidden="false" customHeight="true" outlineLevel="0" collapsed="false">
      <c r="A11" s="10" t="n">
        <v>6</v>
      </c>
      <c r="B11" s="10" t="s">
        <v>52</v>
      </c>
      <c r="C11" s="14" t="n">
        <v>0.3</v>
      </c>
      <c r="D11" s="10" t="s">
        <v>53</v>
      </c>
      <c r="E11" s="12" t="s">
        <v>40</v>
      </c>
      <c r="F11" s="13" t="s">
        <v>54</v>
      </c>
    </row>
    <row r="12" customFormat="false" ht="30" hidden="false" customHeight="true" outlineLevel="0" collapsed="false">
      <c r="A12" s="10" t="n">
        <v>7</v>
      </c>
      <c r="B12" s="10" t="s">
        <v>55</v>
      </c>
      <c r="C12" s="15" t="n">
        <v>0.57</v>
      </c>
      <c r="D12" s="10" t="s">
        <v>56</v>
      </c>
      <c r="E12" s="12" t="s">
        <v>36</v>
      </c>
      <c r="F12" s="13" t="s">
        <v>57</v>
      </c>
    </row>
    <row r="13" customFormat="false" ht="15" hidden="false" customHeight="true" outlineLevel="0" collapsed="false">
      <c r="A13" s="9" t="s">
        <v>58</v>
      </c>
      <c r="B13" s="9"/>
      <c r="C13" s="9"/>
      <c r="D13" s="9"/>
      <c r="E13" s="9"/>
      <c r="F13" s="9"/>
    </row>
    <row r="14" customFormat="false" ht="30" hidden="false" customHeight="true" outlineLevel="0" collapsed="false">
      <c r="A14" s="10" t="n">
        <v>8</v>
      </c>
      <c r="B14" s="10" t="s">
        <v>59</v>
      </c>
      <c r="C14" s="11" t="n">
        <v>1100</v>
      </c>
      <c r="D14" s="10" t="s">
        <v>60</v>
      </c>
      <c r="E14" s="12" t="s">
        <v>44</v>
      </c>
      <c r="F14" s="13" t="s">
        <v>61</v>
      </c>
    </row>
    <row r="15" customFormat="false" ht="30" hidden="false" customHeight="true" outlineLevel="0" collapsed="false">
      <c r="A15" s="10" t="n">
        <v>9</v>
      </c>
      <c r="B15" s="10" t="s">
        <v>62</v>
      </c>
      <c r="C15" s="16" t="n">
        <v>4</v>
      </c>
      <c r="D15" s="10" t="s">
        <v>63</v>
      </c>
      <c r="E15" s="17" t="s">
        <v>64</v>
      </c>
      <c r="F15" s="13" t="s">
        <v>65</v>
      </c>
    </row>
    <row r="16" customFormat="false" ht="30" hidden="false" customHeight="true" outlineLevel="0" collapsed="false">
      <c r="A16" s="10" t="n">
        <v>10</v>
      </c>
      <c r="B16" s="10" t="s">
        <v>66</v>
      </c>
      <c r="C16" s="14" t="n">
        <v>0.5</v>
      </c>
      <c r="D16" s="10" t="s">
        <v>67</v>
      </c>
      <c r="E16" s="12" t="s">
        <v>40</v>
      </c>
      <c r="F16" s="13" t="s">
        <v>68</v>
      </c>
    </row>
    <row r="17" customFormat="false" ht="30" hidden="false" customHeight="true" outlineLevel="0" collapsed="false">
      <c r="A17" s="10" t="n">
        <v>11</v>
      </c>
      <c r="B17" s="10" t="s">
        <v>69</v>
      </c>
      <c r="C17" s="11" t="n">
        <v>2</v>
      </c>
      <c r="D17" s="10" t="s">
        <v>63</v>
      </c>
      <c r="E17" s="12" t="s">
        <v>40</v>
      </c>
      <c r="F17" s="13" t="s">
        <v>70</v>
      </c>
    </row>
    <row r="18" customFormat="false" ht="30" hidden="false" customHeight="true" outlineLevel="0" collapsed="false">
      <c r="A18" s="10" t="n">
        <v>12</v>
      </c>
      <c r="B18" s="10" t="s">
        <v>71</v>
      </c>
      <c r="C18" s="16" t="n">
        <v>80</v>
      </c>
      <c r="D18" s="10" t="s">
        <v>72</v>
      </c>
      <c r="E18" s="12" t="s">
        <v>40</v>
      </c>
      <c r="F18" s="13" t="s">
        <v>73</v>
      </c>
    </row>
    <row r="19" customFormat="false" ht="30" hidden="false" customHeight="true" outlineLevel="0" collapsed="false">
      <c r="A19" s="10" t="n">
        <v>13</v>
      </c>
      <c r="B19" s="10" t="s">
        <v>74</v>
      </c>
      <c r="C19" s="16" t="n">
        <v>25</v>
      </c>
      <c r="D19" s="10" t="s">
        <v>72</v>
      </c>
      <c r="E19" s="12" t="s">
        <v>40</v>
      </c>
      <c r="F19" s="13" t="s">
        <v>75</v>
      </c>
    </row>
    <row r="20" customFormat="false" ht="15" hidden="false" customHeight="true" outlineLevel="0" collapsed="false">
      <c r="A20" s="9" t="s">
        <v>76</v>
      </c>
      <c r="B20" s="9"/>
      <c r="C20" s="9"/>
      <c r="D20" s="9"/>
      <c r="E20" s="9"/>
      <c r="F20" s="9"/>
    </row>
    <row r="21" customFormat="false" ht="30" hidden="false" customHeight="true" outlineLevel="0" collapsed="false">
      <c r="A21" s="10" t="n">
        <v>14</v>
      </c>
      <c r="B21" s="10" t="s">
        <v>77</v>
      </c>
      <c r="C21" s="18" t="n">
        <v>0.6</v>
      </c>
      <c r="D21" s="10" t="s">
        <v>78</v>
      </c>
      <c r="E21" s="12" t="s">
        <v>44</v>
      </c>
      <c r="F21" s="13" t="s">
        <v>79</v>
      </c>
    </row>
    <row r="22" customFormat="false" ht="30" hidden="false" customHeight="true" outlineLevel="0" collapsed="false">
      <c r="A22" s="10" t="n">
        <v>15</v>
      </c>
      <c r="B22" s="10" t="s">
        <v>80</v>
      </c>
      <c r="C22" s="18" t="n">
        <v>0.45</v>
      </c>
      <c r="D22" s="10" t="s">
        <v>78</v>
      </c>
      <c r="E22" s="12" t="s">
        <v>36</v>
      </c>
      <c r="F22" s="13" t="s">
        <v>81</v>
      </c>
    </row>
    <row r="23" customFormat="false" ht="30" hidden="false" customHeight="true" outlineLevel="0" collapsed="false">
      <c r="A23" s="10" t="n">
        <v>16</v>
      </c>
      <c r="B23" s="10" t="s">
        <v>82</v>
      </c>
      <c r="C23" s="18" t="n">
        <v>0.42</v>
      </c>
      <c r="D23" s="10" t="s">
        <v>78</v>
      </c>
      <c r="E23" s="12" t="s">
        <v>44</v>
      </c>
      <c r="F23" s="13" t="s">
        <v>83</v>
      </c>
    </row>
    <row r="24" customFormat="false" ht="30" hidden="false" customHeight="true" outlineLevel="0" collapsed="false">
      <c r="A24" s="10" t="n">
        <v>17</v>
      </c>
      <c r="B24" s="10" t="s">
        <v>84</v>
      </c>
      <c r="C24" s="18" t="n">
        <v>0.19</v>
      </c>
      <c r="D24" s="10" t="s">
        <v>78</v>
      </c>
      <c r="E24" s="12" t="s">
        <v>44</v>
      </c>
      <c r="F24" s="13" t="s">
        <v>85</v>
      </c>
    </row>
    <row r="25" customFormat="false" ht="30" hidden="false" customHeight="true" outlineLevel="0" collapsed="false">
      <c r="A25" s="10" t="n">
        <v>18</v>
      </c>
      <c r="B25" s="10" t="s">
        <v>86</v>
      </c>
      <c r="C25" s="19" t="n">
        <v>0.04</v>
      </c>
      <c r="D25" s="10" t="s">
        <v>78</v>
      </c>
      <c r="E25" s="12" t="s">
        <v>40</v>
      </c>
      <c r="F25" s="13" t="s">
        <v>87</v>
      </c>
    </row>
    <row r="26" customFormat="false" ht="30" hidden="false" customHeight="true" outlineLevel="0" collapsed="false">
      <c r="A26" s="10" t="n">
        <v>19</v>
      </c>
      <c r="B26" s="10" t="s">
        <v>88</v>
      </c>
      <c r="C26" s="14" t="n">
        <v>0.05</v>
      </c>
      <c r="D26" s="10" t="s">
        <v>89</v>
      </c>
      <c r="E26" s="12" t="s">
        <v>40</v>
      </c>
      <c r="F26" s="13" t="s">
        <v>90</v>
      </c>
    </row>
    <row r="27" customFormat="false" ht="15" hidden="false" customHeight="true" outlineLevel="0" collapsed="false">
      <c r="A27" s="9" t="s">
        <v>91</v>
      </c>
      <c r="B27" s="9"/>
      <c r="C27" s="9"/>
      <c r="D27" s="9"/>
      <c r="E27" s="9"/>
      <c r="F27" s="9"/>
    </row>
    <row r="28" customFormat="false" ht="30" hidden="false" customHeight="true" outlineLevel="0" collapsed="false">
      <c r="A28" s="10" t="n">
        <v>20</v>
      </c>
      <c r="B28" s="10" t="s">
        <v>92</v>
      </c>
      <c r="C28" s="20" t="n">
        <v>19000</v>
      </c>
      <c r="D28" s="10" t="s">
        <v>93</v>
      </c>
      <c r="E28" s="12" t="s">
        <v>36</v>
      </c>
      <c r="F28" s="13" t="s">
        <v>94</v>
      </c>
    </row>
    <row r="29" customFormat="false" ht="30" hidden="false" customHeight="true" outlineLevel="0" collapsed="false">
      <c r="A29" s="10" t="n">
        <v>21</v>
      </c>
      <c r="B29" s="10" t="s">
        <v>95</v>
      </c>
      <c r="C29" s="21" t="n">
        <v>1500</v>
      </c>
      <c r="D29" s="10" t="s">
        <v>96</v>
      </c>
      <c r="E29" s="12" t="s">
        <v>40</v>
      </c>
      <c r="F29" s="13" t="s">
        <v>97</v>
      </c>
    </row>
    <row r="30" customFormat="false" ht="30" hidden="false" customHeight="true" outlineLevel="0" collapsed="false">
      <c r="A30" s="10" t="n">
        <v>22</v>
      </c>
      <c r="B30" s="10" t="s">
        <v>98</v>
      </c>
      <c r="C30" s="20" t="n">
        <v>200000</v>
      </c>
      <c r="D30" s="10" t="s">
        <v>99</v>
      </c>
      <c r="E30" s="12" t="s">
        <v>36</v>
      </c>
      <c r="F30" s="13" t="s">
        <v>100</v>
      </c>
    </row>
    <row r="31" customFormat="false" ht="30" hidden="false" customHeight="true" outlineLevel="0" collapsed="false">
      <c r="A31" s="10" t="n">
        <v>23</v>
      </c>
      <c r="B31" s="10" t="s">
        <v>101</v>
      </c>
      <c r="C31" s="21" t="n">
        <v>6000</v>
      </c>
      <c r="D31" s="10" t="s">
        <v>102</v>
      </c>
      <c r="E31" s="12" t="s">
        <v>40</v>
      </c>
      <c r="F31" s="13" t="s">
        <v>103</v>
      </c>
    </row>
    <row r="32" customFormat="false" ht="30" hidden="false" customHeight="true" outlineLevel="0" collapsed="false">
      <c r="A32" s="10" t="n">
        <v>24</v>
      </c>
      <c r="B32" s="10" t="s">
        <v>104</v>
      </c>
      <c r="C32" s="21" t="n">
        <v>60000</v>
      </c>
      <c r="D32" s="10" t="s">
        <v>105</v>
      </c>
      <c r="E32" s="12" t="s">
        <v>40</v>
      </c>
      <c r="F32" s="13" t="s">
        <v>106</v>
      </c>
    </row>
    <row r="33" customFormat="false" ht="30" hidden="false" customHeight="true" outlineLevel="0" collapsed="false">
      <c r="A33" s="10" t="n">
        <v>25</v>
      </c>
      <c r="B33" s="10" t="s">
        <v>107</v>
      </c>
      <c r="C33" s="11" t="n">
        <v>12</v>
      </c>
      <c r="D33" s="10" t="s">
        <v>108</v>
      </c>
      <c r="E33" s="12" t="s">
        <v>36</v>
      </c>
      <c r="F33" s="13" t="s">
        <v>109</v>
      </c>
    </row>
    <row r="34" customFormat="false" ht="30" hidden="false" customHeight="true" outlineLevel="0" collapsed="false">
      <c r="A34" s="10" t="n">
        <v>26</v>
      </c>
      <c r="B34" s="10" t="s">
        <v>110</v>
      </c>
      <c r="C34" s="16" t="n">
        <v>10</v>
      </c>
      <c r="D34" s="10" t="s">
        <v>108</v>
      </c>
      <c r="E34" s="12" t="s">
        <v>40</v>
      </c>
      <c r="F34" s="13" t="s">
        <v>111</v>
      </c>
    </row>
    <row r="35" customFormat="false" ht="30" hidden="false" customHeight="true" outlineLevel="0" collapsed="false">
      <c r="A35" s="10" t="n">
        <v>27</v>
      </c>
      <c r="B35" s="10" t="s">
        <v>112</v>
      </c>
      <c r="C35" s="16" t="n">
        <v>15</v>
      </c>
      <c r="D35" s="10" t="s">
        <v>108</v>
      </c>
      <c r="E35" s="12" t="s">
        <v>40</v>
      </c>
      <c r="F35" s="13" t="s">
        <v>111</v>
      </c>
    </row>
    <row r="36" customFormat="false" ht="15" hidden="false" customHeight="true" outlineLevel="0" collapsed="false">
      <c r="A36" s="9" t="s">
        <v>113</v>
      </c>
      <c r="B36" s="9"/>
      <c r="C36" s="9"/>
      <c r="D36" s="9"/>
      <c r="E36" s="9"/>
      <c r="F36" s="9"/>
    </row>
    <row r="37" customFormat="false" ht="30" hidden="false" customHeight="true" outlineLevel="0" collapsed="false">
      <c r="A37" s="10" t="n">
        <v>28</v>
      </c>
      <c r="B37" s="10" t="s">
        <v>114</v>
      </c>
      <c r="C37" s="21" t="n">
        <v>1500</v>
      </c>
      <c r="D37" s="10" t="s">
        <v>115</v>
      </c>
      <c r="E37" s="17" t="s">
        <v>64</v>
      </c>
      <c r="F37" s="13" t="s">
        <v>116</v>
      </c>
    </row>
    <row r="38" customFormat="false" ht="30" hidden="false" customHeight="true" outlineLevel="0" collapsed="false">
      <c r="A38" s="10" t="n">
        <v>29</v>
      </c>
      <c r="B38" s="10" t="s">
        <v>117</v>
      </c>
      <c r="C38" s="14" t="n">
        <v>0.15</v>
      </c>
      <c r="D38" s="10" t="s">
        <v>118</v>
      </c>
      <c r="E38" s="12" t="s">
        <v>40</v>
      </c>
      <c r="F38" s="13" t="s">
        <v>119</v>
      </c>
    </row>
    <row r="39" customFormat="false" ht="15" hidden="false" customHeight="true" outlineLevel="0" collapsed="false">
      <c r="A39" s="9" t="s">
        <v>120</v>
      </c>
      <c r="B39" s="9"/>
      <c r="C39" s="9"/>
      <c r="D39" s="9"/>
      <c r="E39" s="9"/>
      <c r="F39" s="9"/>
    </row>
    <row r="40" customFormat="false" ht="30" hidden="false" customHeight="true" outlineLevel="0" collapsed="false">
      <c r="A40" s="10" t="n">
        <v>30</v>
      </c>
      <c r="B40" s="10" t="s">
        <v>121</v>
      </c>
      <c r="C40" s="20" t="n">
        <v>25000</v>
      </c>
      <c r="D40" s="10" t="s">
        <v>122</v>
      </c>
      <c r="E40" s="17" t="s">
        <v>123</v>
      </c>
      <c r="F40" s="13" t="s">
        <v>124</v>
      </c>
    </row>
    <row r="44" customFormat="false" ht="45.75" hidden="false" customHeight="true" outlineLevel="0" collapsed="false">
      <c r="A44" s="22" t="s">
        <v>125</v>
      </c>
      <c r="B44" s="22"/>
      <c r="C44" s="22"/>
      <c r="D44" s="22"/>
      <c r="E44" s="22"/>
      <c r="F44" s="22"/>
    </row>
    <row r="45" customFormat="false" ht="45.75" hidden="false" customHeight="true" outlineLevel="0" collapsed="false">
      <c r="A45" s="22" t="s">
        <v>126</v>
      </c>
      <c r="B45" s="22"/>
      <c r="C45" s="22"/>
      <c r="D45" s="22"/>
      <c r="E45" s="22"/>
      <c r="F45" s="22"/>
    </row>
  </sheetData>
  <mergeCells count="8">
    <mergeCell ref="A5:F5"/>
    <mergeCell ref="A13:F13"/>
    <mergeCell ref="A20:F20"/>
    <mergeCell ref="A27:F27"/>
    <mergeCell ref="A36:F36"/>
    <mergeCell ref="A39:F39"/>
    <mergeCell ref="A44:F44"/>
    <mergeCell ref="A45:F45"/>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2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1" width="42"/>
    <col collapsed="false" customWidth="true" hidden="false" outlineLevel="0" max="2" min="2" style="1" width="30"/>
    <col collapsed="false" customWidth="true" hidden="false" outlineLevel="0" max="3" min="3" style="1" width="14"/>
    <col collapsed="false" customWidth="true" hidden="false" outlineLevel="0" max="4" min="4" style="1" width="12"/>
    <col collapsed="false" customWidth="true" hidden="false" outlineLevel="0" max="5" min="5" style="1" width="16"/>
    <col collapsed="false" customWidth="true" hidden="false" outlineLevel="0" max="6" min="6" style="1" width="78"/>
  </cols>
  <sheetData>
    <row r="1" customFormat="false" ht="17.25" hidden="false" customHeight="true" outlineLevel="0" collapsed="false">
      <c r="A1" s="2" t="s">
        <v>127</v>
      </c>
    </row>
    <row r="2" customFormat="false" ht="15" hidden="false" customHeight="true" outlineLevel="0" collapsed="false">
      <c r="A2" s="3" t="s">
        <v>128</v>
      </c>
    </row>
    <row r="4" customFormat="false" ht="31.5" hidden="false" customHeight="true" outlineLevel="0" collapsed="false">
      <c r="A4" s="8" t="s">
        <v>129</v>
      </c>
      <c r="B4" s="8" t="s">
        <v>130</v>
      </c>
      <c r="C4" s="8" t="s">
        <v>131</v>
      </c>
      <c r="D4" s="8" t="s">
        <v>132</v>
      </c>
      <c r="E4" s="8" t="s">
        <v>133</v>
      </c>
      <c r="F4" s="8" t="s">
        <v>134</v>
      </c>
    </row>
    <row r="5" customFormat="false" ht="33.75" hidden="false" customHeight="true" outlineLevel="0" collapsed="false">
      <c r="A5" s="23" t="s">
        <v>135</v>
      </c>
      <c r="B5" s="10" t="s">
        <v>136</v>
      </c>
      <c r="C5" s="24" t="n">
        <f aca="false">Assumptions!$C$6*(1+Assumptions!$C$7)^5</f>
        <v>3005.62237083741</v>
      </c>
      <c r="D5" s="10" t="s">
        <v>137</v>
      </c>
      <c r="E5" s="10" t="s">
        <v>36</v>
      </c>
      <c r="F5" s="13" t="s">
        <v>138</v>
      </c>
    </row>
    <row r="6" customFormat="false" ht="33.75" hidden="false" customHeight="true" outlineLevel="0" collapsed="false">
      <c r="A6" s="10" t="s">
        <v>139</v>
      </c>
      <c r="B6" s="10" t="s">
        <v>140</v>
      </c>
      <c r="C6" s="24" t="n">
        <f aca="false">C5*Assumptions!$C$8</f>
        <v>129.241761946008</v>
      </c>
      <c r="D6" s="10" t="s">
        <v>137</v>
      </c>
      <c r="E6" s="10" t="s">
        <v>44</v>
      </c>
      <c r="F6" s="13" t="s">
        <v>141</v>
      </c>
    </row>
    <row r="7" customFormat="false" ht="33.75" hidden="false" customHeight="true" outlineLevel="0" collapsed="false">
      <c r="A7" s="10" t="s">
        <v>142</v>
      </c>
      <c r="B7" s="10" t="s">
        <v>143</v>
      </c>
      <c r="C7" s="24" t="n">
        <f aca="false">C6*Assumptions!$C$9</f>
        <v>38.7725285838025</v>
      </c>
      <c r="D7" s="10" t="s">
        <v>137</v>
      </c>
      <c r="E7" s="10" t="s">
        <v>36</v>
      </c>
      <c r="F7" s="13" t="s">
        <v>144</v>
      </c>
    </row>
    <row r="8" customFormat="false" ht="33.75" hidden="false" customHeight="true" outlineLevel="0" collapsed="false">
      <c r="A8" s="10" t="s">
        <v>145</v>
      </c>
      <c r="B8" s="10" t="s">
        <v>146</v>
      </c>
      <c r="C8" s="24" t="n">
        <f aca="false">C7*Assumptions!$C$10</f>
        <v>8.52995628843656</v>
      </c>
      <c r="D8" s="10" t="s">
        <v>137</v>
      </c>
      <c r="E8" s="17" t="s">
        <v>64</v>
      </c>
      <c r="F8" s="13" t="s">
        <v>147</v>
      </c>
    </row>
    <row r="9" customFormat="false" ht="33.75" hidden="false" customHeight="true" outlineLevel="0" collapsed="false">
      <c r="A9" s="10" t="s">
        <v>148</v>
      </c>
      <c r="B9" s="10" t="s">
        <v>143</v>
      </c>
      <c r="C9" s="24" t="n">
        <f aca="false">C8*Assumptions!$C$11</f>
        <v>2.55898688653097</v>
      </c>
      <c r="D9" s="10" t="s">
        <v>137</v>
      </c>
      <c r="E9" s="17" t="s">
        <v>64</v>
      </c>
      <c r="F9" s="13" t="s">
        <v>149</v>
      </c>
    </row>
    <row r="10" customFormat="false" ht="33.75" hidden="false" customHeight="true" outlineLevel="0" collapsed="false">
      <c r="A10" s="25" t="s">
        <v>150</v>
      </c>
      <c r="B10" s="26" t="s">
        <v>151</v>
      </c>
      <c r="C10" s="27" t="n">
        <f aca="false">C9*Assumptions!$C$12</f>
        <v>1.45862252532265</v>
      </c>
      <c r="D10" s="26" t="s">
        <v>137</v>
      </c>
      <c r="E10" s="26" t="s">
        <v>36</v>
      </c>
      <c r="F10" s="28" t="s">
        <v>152</v>
      </c>
    </row>
    <row r="12" customFormat="false" ht="15" hidden="false" customHeight="true" outlineLevel="0" collapsed="false">
      <c r="A12" s="29" t="s">
        <v>153</v>
      </c>
    </row>
    <row r="13" customFormat="false" ht="31.5" hidden="false" customHeight="true" outlineLevel="0" collapsed="false">
      <c r="A13" s="8" t="s">
        <v>154</v>
      </c>
      <c r="B13" s="8" t="s">
        <v>155</v>
      </c>
      <c r="C13" s="8" t="s">
        <v>29</v>
      </c>
      <c r="D13" s="8" t="s">
        <v>132</v>
      </c>
      <c r="E13" s="8" t="s">
        <v>31</v>
      </c>
      <c r="F13" s="8" t="s">
        <v>134</v>
      </c>
    </row>
    <row r="14" customFormat="false" ht="33.75" hidden="false" customHeight="true" outlineLevel="0" collapsed="false">
      <c r="A14" s="10" t="s">
        <v>156</v>
      </c>
      <c r="B14" s="10" t="s">
        <v>157</v>
      </c>
      <c r="C14" s="30" t="n">
        <f aca="false">C7*((Assumptions!$C$21+Assumptions!$C$22)/2)*1000</f>
        <v>20355.5775064963</v>
      </c>
      <c r="D14" s="10" t="s">
        <v>158</v>
      </c>
      <c r="E14" s="10" t="s">
        <v>36</v>
      </c>
      <c r="F14" s="13" t="s">
        <v>159</v>
      </c>
    </row>
    <row r="15" customFormat="false" ht="33.75" hidden="false" customHeight="true" outlineLevel="0" collapsed="false">
      <c r="A15" s="10" t="s">
        <v>160</v>
      </c>
      <c r="B15" s="10" t="s">
        <v>161</v>
      </c>
      <c r="C15" s="30" t="n">
        <f aca="false">C10*((Assumptions!$C$21+Assumptions!$C$22)/2)*1000</f>
        <v>765.776825794392</v>
      </c>
      <c r="D15" s="10" t="s">
        <v>158</v>
      </c>
      <c r="E15" s="10" t="s">
        <v>36</v>
      </c>
      <c r="F15" s="13" t="s">
        <v>162</v>
      </c>
    </row>
    <row r="16" customFormat="false" ht="33.75" hidden="false" customHeight="true" outlineLevel="0" collapsed="false">
      <c r="A16" s="10" t="s">
        <v>163</v>
      </c>
      <c r="B16" s="10" t="s">
        <v>164</v>
      </c>
      <c r="C16" s="30" t="n">
        <f aca="false">'3. Margin stacks'!D24</f>
        <v>7.1366625</v>
      </c>
      <c r="D16" s="10" t="s">
        <v>158</v>
      </c>
      <c r="E16" s="17" t="s">
        <v>64</v>
      </c>
      <c r="F16" s="13" t="s">
        <v>165</v>
      </c>
    </row>
    <row r="18" customFormat="false" ht="39.75" hidden="false" customHeight="true" outlineLevel="0" collapsed="false">
      <c r="A18" s="31" t="s">
        <v>166</v>
      </c>
    </row>
    <row r="20" customFormat="false" ht="45.75" hidden="false" customHeight="true" outlineLevel="0" collapsed="false">
      <c r="A20" s="32" t="s">
        <v>167</v>
      </c>
      <c r="B20" s="32"/>
      <c r="C20" s="32"/>
      <c r="D20" s="32"/>
      <c r="E20" s="32"/>
      <c r="F20" s="32"/>
    </row>
  </sheetData>
  <mergeCells count="1">
    <mergeCell ref="A20:F20"/>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17"/>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1" width="46"/>
    <col collapsed="false" customWidth="true" hidden="false" outlineLevel="0" max="2" min="2" style="1" width="16"/>
    <col collapsed="false" customWidth="true" hidden="false" outlineLevel="0" max="3" min="3" style="1" width="18"/>
    <col collapsed="false" customWidth="true" hidden="false" outlineLevel="0" max="4" min="4" style="1" width="96"/>
  </cols>
  <sheetData>
    <row r="1" customFormat="false" ht="17.25" hidden="false" customHeight="true" outlineLevel="0" collapsed="false">
      <c r="A1" s="2" t="s">
        <v>168</v>
      </c>
    </row>
    <row r="2" customFormat="false" ht="15" hidden="false" customHeight="true" outlineLevel="0" collapsed="false">
      <c r="A2" s="3" t="s">
        <v>169</v>
      </c>
    </row>
    <row r="4" customFormat="false" ht="31.5" hidden="false" customHeight="true" outlineLevel="0" collapsed="false">
      <c r="A4" s="8" t="s">
        <v>170</v>
      </c>
      <c r="B4" s="8" t="s">
        <v>29</v>
      </c>
      <c r="C4" s="8" t="s">
        <v>132</v>
      </c>
      <c r="D4" s="8" t="s">
        <v>171</v>
      </c>
    </row>
    <row r="5" customFormat="false" ht="30" hidden="false" customHeight="true" outlineLevel="0" collapsed="false">
      <c r="A5" s="10" t="s">
        <v>59</v>
      </c>
      <c r="B5" s="33" t="n">
        <f aca="false">Assumptions!$C$14</f>
        <v>1100</v>
      </c>
      <c r="C5" s="10" t="s">
        <v>60</v>
      </c>
      <c r="D5" s="13" t="s">
        <v>172</v>
      </c>
    </row>
    <row r="6" customFormat="false" ht="30" hidden="false" customHeight="true" outlineLevel="0" collapsed="false">
      <c r="A6" s="10" t="s">
        <v>62</v>
      </c>
      <c r="B6" s="34" t="n">
        <f aca="false">Assumptions!$C$15</f>
        <v>4</v>
      </c>
      <c r="C6" s="10" t="s">
        <v>63</v>
      </c>
      <c r="D6" s="13" t="s">
        <v>173</v>
      </c>
    </row>
    <row r="7" customFormat="false" ht="30" hidden="false" customHeight="true" outlineLevel="0" collapsed="false">
      <c r="A7" s="23" t="s">
        <v>174</v>
      </c>
      <c r="B7" s="33" t="n">
        <f aca="false">B5*B6</f>
        <v>4400</v>
      </c>
      <c r="C7" s="10" t="s">
        <v>63</v>
      </c>
      <c r="D7" s="13" t="s">
        <v>175</v>
      </c>
    </row>
    <row r="9" customFormat="false" ht="30" hidden="false" customHeight="true" outlineLevel="0" collapsed="false">
      <c r="A9" s="10" t="s">
        <v>176</v>
      </c>
      <c r="B9" s="33" t="n">
        <f aca="false">B7*Assumptions!$C$16</f>
        <v>2200</v>
      </c>
      <c r="C9" s="10" t="s">
        <v>63</v>
      </c>
      <c r="D9" s="13" t="s">
        <v>177</v>
      </c>
    </row>
    <row r="10" customFormat="false" ht="30" hidden="false" customHeight="true" outlineLevel="0" collapsed="false">
      <c r="A10" s="10" t="s">
        <v>178</v>
      </c>
      <c r="B10" s="33" t="n">
        <f aca="false">B7-B9</f>
        <v>2200</v>
      </c>
      <c r="C10" s="10" t="s">
        <v>63</v>
      </c>
      <c r="D10" s="13" t="s">
        <v>179</v>
      </c>
    </row>
    <row r="11" customFormat="false" ht="30" hidden="false" customHeight="true" outlineLevel="0" collapsed="false">
      <c r="A11" s="10" t="s">
        <v>180</v>
      </c>
      <c r="B11" s="33" t="n">
        <f aca="false">B9/Assumptions!$C$17</f>
        <v>1100</v>
      </c>
      <c r="C11" s="10" t="s">
        <v>181</v>
      </c>
      <c r="D11" s="13" t="s">
        <v>182</v>
      </c>
    </row>
    <row r="13" customFormat="false" ht="30" hidden="false" customHeight="true" outlineLevel="0" collapsed="false">
      <c r="A13" s="10" t="s">
        <v>183</v>
      </c>
      <c r="B13" s="24" t="n">
        <f aca="false">B9*Assumptions!$C$18*365/1000000</f>
        <v>64.24</v>
      </c>
      <c r="C13" s="10" t="s">
        <v>184</v>
      </c>
      <c r="D13" s="13" t="s">
        <v>185</v>
      </c>
    </row>
    <row r="14" customFormat="false" ht="30" hidden="false" customHeight="true" outlineLevel="0" collapsed="false">
      <c r="A14" s="10" t="s">
        <v>186</v>
      </c>
      <c r="B14" s="24" t="n">
        <f aca="false">B10*Assumptions!$C$19*365/1000000</f>
        <v>20.075</v>
      </c>
      <c r="C14" s="10" t="s">
        <v>184</v>
      </c>
      <c r="D14" s="13" t="s">
        <v>187</v>
      </c>
    </row>
    <row r="15" customFormat="false" ht="30" hidden="false" customHeight="true" outlineLevel="0" collapsed="false">
      <c r="A15" s="25" t="s">
        <v>188</v>
      </c>
      <c r="B15" s="27" t="n">
        <f aca="false">B13+B14</f>
        <v>84.315</v>
      </c>
      <c r="C15" s="26" t="s">
        <v>184</v>
      </c>
      <c r="D15" s="28" t="s">
        <v>189</v>
      </c>
    </row>
    <row r="17" customFormat="false" ht="51.75" hidden="false" customHeight="true" outlineLevel="0" collapsed="false">
      <c r="A17" s="23" t="s">
        <v>190</v>
      </c>
      <c r="B17" s="35" t="n">
        <f aca="false">B15/1000/'1. Top-down funnel'!C10</f>
        <v>0.0578045371823319</v>
      </c>
      <c r="C17" s="10" t="s">
        <v>191</v>
      </c>
      <c r="D17" s="13" t="s">
        <v>192</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2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1" width="44"/>
    <col collapsed="false" customWidth="true" hidden="false" outlineLevel="0" max="4" min="2" style="1" width="20"/>
    <col collapsed="false" customWidth="true" hidden="false" outlineLevel="0" max="5" min="5" style="1" width="78"/>
  </cols>
  <sheetData>
    <row r="1" customFormat="false" ht="17.25" hidden="false" customHeight="true" outlineLevel="0" collapsed="false">
      <c r="A1" s="2" t="s">
        <v>193</v>
      </c>
    </row>
    <row r="2" customFormat="false" ht="15" hidden="false" customHeight="true" outlineLevel="0" collapsed="false">
      <c r="A2" s="3" t="s">
        <v>194</v>
      </c>
    </row>
    <row r="4" customFormat="false" ht="31.5" hidden="false" customHeight="true" outlineLevel="0" collapsed="false">
      <c r="A4" s="8" t="s">
        <v>170</v>
      </c>
      <c r="B4" s="8" t="s">
        <v>195</v>
      </c>
      <c r="C4" s="8" t="s">
        <v>196</v>
      </c>
      <c r="D4" s="8" t="s">
        <v>197</v>
      </c>
      <c r="E4" s="8" t="s">
        <v>134</v>
      </c>
    </row>
    <row r="5" customFormat="false" ht="15" hidden="false" customHeight="true" outlineLevel="0" collapsed="false">
      <c r="A5" s="36" t="s">
        <v>198</v>
      </c>
      <c r="B5" s="37"/>
      <c r="C5" s="37"/>
      <c r="D5" s="37"/>
      <c r="E5" s="37"/>
    </row>
    <row r="6" customFormat="false" ht="30" hidden="false" customHeight="true" outlineLevel="0" collapsed="false">
      <c r="A6" s="10" t="s">
        <v>199</v>
      </c>
      <c r="B6" s="38" t="n">
        <f aca="false">'2. Verdal volume'!B15</f>
        <v>84.315</v>
      </c>
      <c r="C6" s="38" t="n">
        <f aca="false">'2. Verdal volume'!B15</f>
        <v>84.315</v>
      </c>
      <c r="D6" s="38" t="n">
        <f aca="false">'2. Verdal volume'!B15</f>
        <v>84.315</v>
      </c>
      <c r="E6" s="13" t="s">
        <v>200</v>
      </c>
    </row>
    <row r="7" customFormat="false" ht="30" hidden="false" customHeight="true" outlineLevel="0" collapsed="false">
      <c r="A7" s="10" t="s">
        <v>201</v>
      </c>
      <c r="B7" s="39" t="n">
        <f aca="false">'2. Verdal volume'!B13*Assumptions!$C$21+'2. Verdal volume'!B14*Assumptions!$C$22</f>
        <v>47.57775</v>
      </c>
      <c r="C7" s="39" t="n">
        <f aca="false">B7</f>
        <v>47.57775</v>
      </c>
      <c r="D7" s="39" t="n">
        <f aca="false">B7</f>
        <v>47.57775</v>
      </c>
      <c r="E7" s="13" t="s">
        <v>202</v>
      </c>
    </row>
    <row r="9" customFormat="false" ht="15" hidden="false" customHeight="true" outlineLevel="0" collapsed="false">
      <c r="A9" s="36" t="s">
        <v>203</v>
      </c>
      <c r="B9" s="37"/>
      <c r="C9" s="37"/>
      <c r="D9" s="37"/>
      <c r="E9" s="37"/>
    </row>
    <row r="10" customFormat="false" ht="30" hidden="false" customHeight="true" outlineLevel="0" collapsed="false">
      <c r="A10" s="10" t="s">
        <v>204</v>
      </c>
      <c r="B10" s="39" t="n">
        <f aca="false">'2. Verdal volume'!B7*Assumptions!$C$37/1000000</f>
        <v>6.6</v>
      </c>
      <c r="C10" s="39" t="s">
        <v>205</v>
      </c>
      <c r="D10" s="39" t="s">
        <v>205</v>
      </c>
      <c r="E10" s="13" t="s">
        <v>206</v>
      </c>
    </row>
    <row r="11" customFormat="false" ht="30" hidden="false" customHeight="true" outlineLevel="0" collapsed="false">
      <c r="A11" s="10" t="s">
        <v>196</v>
      </c>
      <c r="B11" s="39" t="s">
        <v>205</v>
      </c>
      <c r="C11" s="39" t="n">
        <f aca="false">C7*Assumptions!$C$38</f>
        <v>7.1366625</v>
      </c>
      <c r="D11" s="39" t="s">
        <v>205</v>
      </c>
      <c r="E11" s="13" t="s">
        <v>207</v>
      </c>
    </row>
    <row r="12" customFormat="false" ht="30" hidden="false" customHeight="true" outlineLevel="0" collapsed="false">
      <c r="A12" s="10" t="s">
        <v>208</v>
      </c>
      <c r="B12" s="39" t="s">
        <v>205</v>
      </c>
      <c r="C12" s="39" t="s">
        <v>205</v>
      </c>
      <c r="D12" s="39" t="n">
        <f aca="false">D7</f>
        <v>47.57775</v>
      </c>
      <c r="E12" s="13" t="s">
        <v>209</v>
      </c>
    </row>
    <row r="14" customFormat="false" ht="15" hidden="false" customHeight="true" outlineLevel="0" collapsed="false">
      <c r="A14" s="36" t="s">
        <v>210</v>
      </c>
      <c r="B14" s="37"/>
      <c r="C14" s="37"/>
      <c r="D14" s="37"/>
      <c r="E14" s="37"/>
    </row>
    <row r="15" customFormat="false" ht="30" hidden="false" customHeight="true" outlineLevel="0" collapsed="false">
      <c r="A15" s="10" t="s">
        <v>211</v>
      </c>
      <c r="B15" s="39" t="s">
        <v>205</v>
      </c>
      <c r="C15" s="39" t="s">
        <v>205</v>
      </c>
      <c r="D15" s="39" t="n">
        <f aca="false">-'2. Verdal volume'!B15*Assumptions!$C$24</f>
        <v>-16.01985</v>
      </c>
      <c r="E15" s="13" t="s">
        <v>212</v>
      </c>
    </row>
    <row r="16" customFormat="false" ht="30" hidden="false" customHeight="true" outlineLevel="0" collapsed="false">
      <c r="A16" s="10" t="s">
        <v>213</v>
      </c>
      <c r="B16" s="39" t="s">
        <v>205</v>
      </c>
      <c r="C16" s="39" t="s">
        <v>205</v>
      </c>
      <c r="D16" s="39" t="n">
        <f aca="false">-'2. Verdal volume'!B15*Assumptions!$C$25</f>
        <v>-3.3726</v>
      </c>
      <c r="E16" s="13" t="s">
        <v>214</v>
      </c>
    </row>
    <row r="17" customFormat="false" ht="30" hidden="false" customHeight="true" outlineLevel="0" collapsed="false">
      <c r="A17" s="10" t="s">
        <v>215</v>
      </c>
      <c r="B17" s="39" t="s">
        <v>205</v>
      </c>
      <c r="C17" s="39" t="s">
        <v>205</v>
      </c>
      <c r="D17" s="39" t="n">
        <f aca="false">-D7*Assumptions!$C$26</f>
        <v>-2.3788875</v>
      </c>
      <c r="E17" s="13" t="s">
        <v>216</v>
      </c>
    </row>
    <row r="18" customFormat="false" ht="30" hidden="false" customHeight="true" outlineLevel="0" collapsed="false">
      <c r="A18" s="10" t="s">
        <v>217</v>
      </c>
      <c r="B18" s="39" t="s">
        <v>205</v>
      </c>
      <c r="C18" s="39" t="s">
        <v>205</v>
      </c>
      <c r="D18" s="39" t="n">
        <f aca="false">-('2. Verdal volume'!B11*Assumptions!$C$28+'2. Verdal volume'!B10*Assumptions!$C$29)/1000000</f>
        <v>-24.2</v>
      </c>
      <c r="E18" s="13" t="s">
        <v>218</v>
      </c>
    </row>
    <row r="19" customFormat="false" ht="30" hidden="false" customHeight="true" outlineLevel="0" collapsed="false">
      <c r="A19" s="10" t="s">
        <v>219</v>
      </c>
      <c r="B19" s="39" t="s">
        <v>205</v>
      </c>
      <c r="C19" s="39" t="s">
        <v>205</v>
      </c>
      <c r="D19" s="39" t="n">
        <f aca="false">-('2. Verdal volume'!B11*Assumptions!$C$30/Assumptions!$C$33+'2. Verdal volume'!B10*Assumptions!$C$31/Assumptions!$C$34)/1000000</f>
        <v>-19.6533333333333</v>
      </c>
      <c r="E19" s="13" t="s">
        <v>220</v>
      </c>
    </row>
    <row r="20" customFormat="false" ht="30" hidden="false" customHeight="true" outlineLevel="0" collapsed="false">
      <c r="A20" s="10" t="s">
        <v>221</v>
      </c>
      <c r="B20" s="39" t="s">
        <v>205</v>
      </c>
      <c r="C20" s="39" t="s">
        <v>205</v>
      </c>
      <c r="D20" s="39" t="n">
        <f aca="false">-('2. Verdal volume'!B5*Assumptions!$C$32/Assumptions!$C$35)/1000000</f>
        <v>-4.4</v>
      </c>
      <c r="E20" s="13" t="s">
        <v>222</v>
      </c>
    </row>
    <row r="22" customFormat="false" ht="30" hidden="false" customHeight="true" outlineLevel="0" collapsed="false">
      <c r="A22" s="23" t="s">
        <v>223</v>
      </c>
      <c r="B22" s="39" t="n">
        <f aca="false">B10</f>
        <v>6.6</v>
      </c>
      <c r="C22" s="39" t="n">
        <f aca="false">C11</f>
        <v>7.1366625</v>
      </c>
      <c r="D22" s="39" t="n">
        <f aca="false">D12+SUM(D15:D20)</f>
        <v>-22.4469208333333</v>
      </c>
      <c r="E22" s="13" t="s">
        <v>224</v>
      </c>
    </row>
    <row r="23" customFormat="false" ht="30" hidden="false" customHeight="true" outlineLevel="0" collapsed="false">
      <c r="A23" s="25" t="s">
        <v>225</v>
      </c>
      <c r="B23" s="40" t="n">
        <f aca="false">B22/'2. Verdal volume'!B15</f>
        <v>0.0782778864970646</v>
      </c>
      <c r="C23" s="40" t="n">
        <f aca="false">C22/'2. Verdal volume'!B15</f>
        <v>0.0846428571428571</v>
      </c>
      <c r="D23" s="40" t="n">
        <f aca="false">D22/'2. Verdal volume'!B15</f>
        <v>-0.266226897151555</v>
      </c>
      <c r="E23" s="28" t="s">
        <v>226</v>
      </c>
    </row>
    <row r="24" customFormat="false" ht="30" hidden="false" customHeight="true" outlineLevel="0" collapsed="false">
      <c r="A24" s="23" t="s">
        <v>227</v>
      </c>
      <c r="B24" s="41"/>
      <c r="C24" s="41"/>
      <c r="D24" s="39" t="n">
        <f aca="false">MAX(B22:D22)</f>
        <v>7.1366625</v>
      </c>
      <c r="E24" s="13" t="s">
        <v>228</v>
      </c>
    </row>
    <row r="25" customFormat="false" ht="30" hidden="false" customHeight="true" outlineLevel="0" collapsed="false">
      <c r="A25" s="23" t="s">
        <v>229</v>
      </c>
      <c r="B25" s="41"/>
      <c r="C25" s="41"/>
      <c r="D25" s="39" t="n">
        <f aca="false">D24-B22</f>
        <v>0.536662499999999</v>
      </c>
      <c r="E25" s="13" t="s">
        <v>230</v>
      </c>
    </row>
    <row r="26" customFormat="false" ht="45.75" hidden="false" customHeight="true" outlineLevel="0" collapsed="false">
      <c r="A26" s="42" t="s">
        <v>231</v>
      </c>
      <c r="B26" s="42"/>
      <c r="C26" s="42"/>
      <c r="D26" s="42"/>
      <c r="E26" s="42"/>
    </row>
  </sheetData>
  <mergeCells count="1">
    <mergeCell ref="A26:E26"/>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1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1" width="30"/>
    <col collapsed="false" customWidth="true" hidden="false" outlineLevel="0" max="2" min="2" style="1" width="46"/>
    <col collapsed="false" customWidth="true" hidden="false" outlineLevel="0" max="4" min="3" style="1" width="18"/>
    <col collapsed="false" customWidth="true" hidden="false" outlineLevel="0" max="5" min="5" style="1" width="62"/>
  </cols>
  <sheetData>
    <row r="1" customFormat="false" ht="17.25" hidden="false" customHeight="true" outlineLevel="0" collapsed="false">
      <c r="A1" s="2" t="s">
        <v>232</v>
      </c>
    </row>
    <row r="2" customFormat="false" ht="15" hidden="false" customHeight="true" outlineLevel="0" collapsed="false">
      <c r="A2" s="3" t="s">
        <v>233</v>
      </c>
    </row>
    <row r="4" customFormat="false" ht="31.5" hidden="false" customHeight="true" outlineLevel="0" collapsed="false">
      <c r="A4" s="8" t="s">
        <v>234</v>
      </c>
      <c r="B4" s="8" t="s">
        <v>235</v>
      </c>
      <c r="C4" s="8" t="s">
        <v>236</v>
      </c>
      <c r="D4" s="8" t="s">
        <v>237</v>
      </c>
      <c r="E4" s="8" t="s">
        <v>238</v>
      </c>
    </row>
    <row r="5" customFormat="false" ht="45.75" hidden="false" customHeight="true" outlineLevel="0" collapsed="false">
      <c r="A5" s="23" t="s">
        <v>239</v>
      </c>
      <c r="B5" s="43" t="s">
        <v>240</v>
      </c>
      <c r="C5" s="30" t="n">
        <f aca="false">Assumptions!$C$40</f>
        <v>25000</v>
      </c>
      <c r="D5" s="44" t="s">
        <v>241</v>
      </c>
      <c r="E5" s="13" t="s">
        <v>242</v>
      </c>
    </row>
    <row r="6" customFormat="false" ht="45.75" hidden="false" customHeight="true" outlineLevel="0" collapsed="false">
      <c r="A6" s="23" t="s">
        <v>243</v>
      </c>
      <c r="B6" s="43" t="s">
        <v>244</v>
      </c>
      <c r="C6" s="30" t="n">
        <f aca="false">'1. Top-down funnel'!C14</f>
        <v>20355.5775064963</v>
      </c>
      <c r="D6" s="44" t="n">
        <f aca="false">C6/$C$6</f>
        <v>1</v>
      </c>
      <c r="E6" s="13" t="s">
        <v>245</v>
      </c>
    </row>
    <row r="7" customFormat="false" ht="45.75" hidden="false" customHeight="true" outlineLevel="0" collapsed="false">
      <c r="A7" s="23" t="s">
        <v>246</v>
      </c>
      <c r="B7" s="43" t="s">
        <v>247</v>
      </c>
      <c r="C7" s="30" t="n">
        <f aca="false">'1. Top-down funnel'!C15</f>
        <v>765.776825794392</v>
      </c>
      <c r="D7" s="44" t="n">
        <f aca="false">C7/$C$6</f>
        <v>0.03762</v>
      </c>
      <c r="E7" s="13" t="s">
        <v>248</v>
      </c>
    </row>
    <row r="8" customFormat="false" ht="45.75" hidden="false" customHeight="true" outlineLevel="0" collapsed="false">
      <c r="A8" s="25" t="s">
        <v>249</v>
      </c>
      <c r="B8" s="45" t="s">
        <v>250</v>
      </c>
      <c r="C8" s="46" t="n">
        <f aca="false">'3. Margin stacks'!D24</f>
        <v>7.1366625</v>
      </c>
      <c r="D8" s="47" t="n">
        <f aca="false">C8/$C$6</f>
        <v>0.000350599853908463</v>
      </c>
      <c r="E8" s="28" t="s">
        <v>251</v>
      </c>
    </row>
    <row r="10" customFormat="false" ht="15" hidden="false" customHeight="true" outlineLevel="0" collapsed="false">
      <c r="A10" s="4" t="s">
        <v>252</v>
      </c>
    </row>
    <row r="11" customFormat="false" ht="15" hidden="false" customHeight="true" outlineLevel="0" collapsed="false">
      <c r="A11" s="48" t="s">
        <v>253</v>
      </c>
      <c r="B11" s="48"/>
      <c r="C11" s="48"/>
      <c r="D11" s="48"/>
      <c r="E11" s="48"/>
    </row>
    <row r="13" customFormat="false" ht="31.5" hidden="false" customHeight="true" outlineLevel="0" collapsed="false">
      <c r="A13" s="49" t="s">
        <v>254</v>
      </c>
      <c r="B13" s="49"/>
      <c r="C13" s="49"/>
      <c r="D13" s="49"/>
      <c r="E13" s="49"/>
    </row>
  </sheetData>
  <mergeCells count="2">
    <mergeCell ref="A11:E11"/>
    <mergeCell ref="A13:E13"/>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3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1" width="30"/>
    <col collapsed="false" customWidth="true" hidden="false" outlineLevel="0" max="2" min="2" style="1" width="16"/>
    <col collapsed="false" customWidth="true" hidden="false" outlineLevel="0" max="3" min="3" style="1" width="22"/>
    <col collapsed="false" customWidth="true" hidden="false" outlineLevel="0" max="4" min="4" style="1" width="92"/>
    <col collapsed="false" customWidth="true" hidden="false" outlineLevel="0" max="8" min="5" style="1" width="13"/>
  </cols>
  <sheetData>
    <row r="1" customFormat="false" ht="17.25" hidden="false" customHeight="true" outlineLevel="0" collapsed="false">
      <c r="A1" s="2" t="s">
        <v>255</v>
      </c>
    </row>
    <row r="2" customFormat="false" ht="15" hidden="false" customHeight="true" outlineLevel="0" collapsed="false">
      <c r="A2" s="3" t="s">
        <v>256</v>
      </c>
    </row>
    <row r="4" customFormat="false" ht="15" hidden="false" customHeight="true" outlineLevel="0" collapsed="false">
      <c r="A4" s="29" t="s">
        <v>257</v>
      </c>
    </row>
    <row r="5" customFormat="false" ht="31.5" hidden="false" customHeight="true" outlineLevel="0" collapsed="false">
      <c r="A5" s="8" t="s">
        <v>170</v>
      </c>
      <c r="B5" s="8" t="s">
        <v>29</v>
      </c>
      <c r="C5" s="8" t="s">
        <v>132</v>
      </c>
      <c r="D5" s="8" t="s">
        <v>134</v>
      </c>
    </row>
    <row r="6" customFormat="false" ht="31.5" hidden="false" customHeight="true" outlineLevel="0" collapsed="false">
      <c r="A6" s="10" t="s">
        <v>258</v>
      </c>
      <c r="B6" s="50" t="n">
        <f aca="false">Assumptions!$C$21*(1-Assumptions!$C$26)-Assumptions!$C$24-Assumptions!$C$25</f>
        <v>0.34</v>
      </c>
      <c r="C6" s="10" t="s">
        <v>78</v>
      </c>
      <c r="D6" s="13" t="s">
        <v>259</v>
      </c>
    </row>
    <row r="7" customFormat="false" ht="31.5" hidden="false" customHeight="true" outlineLevel="0" collapsed="false">
      <c r="A7" s="10" t="s">
        <v>260</v>
      </c>
      <c r="B7" s="30" t="n">
        <f aca="false">('2. Verdal volume'!B11*(Assumptions!$C$28+Assumptions!$C$30/Assumptions!$C$33)+'2. Verdal volume'!B5*Assumptions!$C$32/Assumptions!$C$35)/1000000</f>
        <v>43.6333333333333</v>
      </c>
      <c r="C7" s="10" t="s">
        <v>158</v>
      </c>
      <c r="D7" s="13" t="s">
        <v>261</v>
      </c>
    </row>
    <row r="8" customFormat="false" ht="31.5" hidden="false" customHeight="true" outlineLevel="0" collapsed="false">
      <c r="A8" s="10" t="s">
        <v>262</v>
      </c>
      <c r="B8" s="24" t="n">
        <f aca="false">B7/B6</f>
        <v>128.333333333333</v>
      </c>
      <c r="C8" s="10" t="s">
        <v>184</v>
      </c>
      <c r="D8" s="13" t="s">
        <v>263</v>
      </c>
    </row>
    <row r="9" customFormat="false" ht="31.5" hidden="false" customHeight="true" outlineLevel="0" collapsed="false">
      <c r="A9" s="25" t="s">
        <v>264</v>
      </c>
      <c r="B9" s="51" t="n">
        <f aca="false">B8*1000000/'2. Verdal volume'!B9/365</f>
        <v>159.817351598174</v>
      </c>
      <c r="C9" s="26" t="s">
        <v>265</v>
      </c>
      <c r="D9" s="28" t="s">
        <v>266</v>
      </c>
    </row>
    <row r="10" customFormat="false" ht="31.5" hidden="false" customHeight="true" outlineLevel="0" collapsed="false">
      <c r="A10" s="10" t="s">
        <v>267</v>
      </c>
      <c r="B10" s="33" t="n">
        <f aca="false">Assumptions!$C$18</f>
        <v>80</v>
      </c>
      <c r="C10" s="10" t="s">
        <v>265</v>
      </c>
      <c r="D10" s="13" t="s">
        <v>268</v>
      </c>
    </row>
    <row r="11" customFormat="false" ht="31.5" hidden="false" customHeight="true" outlineLevel="0" collapsed="false">
      <c r="A11" s="10" t="s">
        <v>269</v>
      </c>
      <c r="B11" s="35" t="n">
        <f aca="false">B9/B10-1</f>
        <v>0.997716894977169</v>
      </c>
      <c r="C11" s="10" t="s">
        <v>270</v>
      </c>
      <c r="D11" s="13" t="s">
        <v>271</v>
      </c>
    </row>
    <row r="12" customFormat="false" ht="31.5" hidden="false" customHeight="true" outlineLevel="0" collapsed="false">
      <c r="A12" s="10" t="s">
        <v>272</v>
      </c>
      <c r="B12" s="11" t="n">
        <v>1235</v>
      </c>
      <c r="C12" s="10" t="s">
        <v>273</v>
      </c>
      <c r="D12" s="13" t="s">
        <v>274</v>
      </c>
    </row>
    <row r="15" customFormat="false" ht="15" hidden="false" customHeight="true" outlineLevel="0" collapsed="false">
      <c r="A15" s="29" t="s">
        <v>275</v>
      </c>
    </row>
    <row r="16" customFormat="false" ht="15" hidden="false" customHeight="true" outlineLevel="0" collapsed="false">
      <c r="A16" s="3" t="s">
        <v>276</v>
      </c>
    </row>
    <row r="18" customFormat="false" ht="15" hidden="false" customHeight="true" outlineLevel="0" collapsed="false">
      <c r="A18" s="52" t="s">
        <v>277</v>
      </c>
      <c r="B18" s="53" t="n">
        <v>40</v>
      </c>
      <c r="C18" s="53" t="n">
        <v>60</v>
      </c>
      <c r="D18" s="53" t="n">
        <v>80</v>
      </c>
      <c r="E18" s="53" t="n">
        <v>100</v>
      </c>
      <c r="F18" s="53" t="n">
        <v>120</v>
      </c>
      <c r="G18" s="53" t="n">
        <v>140</v>
      </c>
      <c r="H18" s="53" t="n">
        <v>160</v>
      </c>
    </row>
    <row r="19" customFormat="false" ht="15" hidden="false" customHeight="true" outlineLevel="0" collapsed="false">
      <c r="A19" s="52" t="n">
        <v>2</v>
      </c>
      <c r="B19" s="39" t="n">
        <f aca="false">((((Assumptions!$C$14*2)*Assumptions!$C$16)*40*365/1000000)*Assumptions!$C$21+(((Assumptions!$C$14*2)-((Assumptions!$C$14*2)*Assumptions!$C$16))*Assumptions!$C$19*365/1000000)*Assumptions!$C$22)*(1-Assumptions!$C$26)-((((Assumptions!$C$14*2)*Assumptions!$C$16)*40*365/1000000)+(((Assumptions!$C$14*2)-((Assumptions!$C$14*2)*Assumptions!$C$16))*Assumptions!$C$19*365/1000000))*(Assumptions!$C$24+Assumptions!$C$25)-(((Assumptions!$C$14*2)*Assumptions!$C$16)/Assumptions!$C$17*(Assumptions!$C$28+Assumptions!$C$30/Assumptions!$C$33)+((Assumptions!$C$14*2)-((Assumptions!$C$14*2)*Assumptions!$C$16))*(Assumptions!$C$29+Assumptions!$C$31/Assumptions!$C$34)+Assumptions!$C$14*Assumptions!$C$32/Assumptions!$C$35)/1000000</f>
        <v>-18.8838604166667</v>
      </c>
      <c r="C19" s="39" t="n">
        <f aca="false">((((Assumptions!$C$14*2)*Assumptions!$C$16)*60*365/1000000)*Assumptions!$C$21+(((Assumptions!$C$14*2)-((Assumptions!$C$14*2)*Assumptions!$C$16))*Assumptions!$C$19*365/1000000)*Assumptions!$C$22)*(1-Assumptions!$C$26)-((((Assumptions!$C$14*2)*Assumptions!$C$16)*60*365/1000000)+(((Assumptions!$C$14*2)-((Assumptions!$C$14*2)*Assumptions!$C$16))*Assumptions!$C$19*365/1000000))*(Assumptions!$C$24+Assumptions!$C$25)-(((Assumptions!$C$14*2)*Assumptions!$C$16)/Assumptions!$C$17*(Assumptions!$C$28+Assumptions!$C$30/Assumptions!$C$33)+((Assumptions!$C$14*2)-((Assumptions!$C$14*2)*Assumptions!$C$16))*(Assumptions!$C$29+Assumptions!$C$31/Assumptions!$C$34)+Assumptions!$C$14*Assumptions!$C$32/Assumptions!$C$35)/1000000</f>
        <v>-16.1536604166667</v>
      </c>
      <c r="D19" s="39" t="n">
        <f aca="false">((((Assumptions!$C$14*2)*Assumptions!$C$16)*80*365/1000000)*Assumptions!$C$21+(((Assumptions!$C$14*2)-((Assumptions!$C$14*2)*Assumptions!$C$16))*Assumptions!$C$19*365/1000000)*Assumptions!$C$22)*(1-Assumptions!$C$26)-((((Assumptions!$C$14*2)*Assumptions!$C$16)*80*365/1000000)+(((Assumptions!$C$14*2)-((Assumptions!$C$14*2)*Assumptions!$C$16))*Assumptions!$C$19*365/1000000))*(Assumptions!$C$24+Assumptions!$C$25)-(((Assumptions!$C$14*2)*Assumptions!$C$16)/Assumptions!$C$17*(Assumptions!$C$28+Assumptions!$C$30/Assumptions!$C$33)+((Assumptions!$C$14*2)-((Assumptions!$C$14*2)*Assumptions!$C$16))*(Assumptions!$C$29+Assumptions!$C$31/Assumptions!$C$34)+Assumptions!$C$14*Assumptions!$C$32/Assumptions!$C$35)/1000000</f>
        <v>-13.4234604166667</v>
      </c>
      <c r="E19" s="39" t="n">
        <f aca="false">((((Assumptions!$C$14*2)*Assumptions!$C$16)*100*365/1000000)*Assumptions!$C$21+(((Assumptions!$C$14*2)-((Assumptions!$C$14*2)*Assumptions!$C$16))*Assumptions!$C$19*365/1000000)*Assumptions!$C$22)*(1-Assumptions!$C$26)-((((Assumptions!$C$14*2)*Assumptions!$C$16)*100*365/1000000)+(((Assumptions!$C$14*2)-((Assumptions!$C$14*2)*Assumptions!$C$16))*Assumptions!$C$19*365/1000000))*(Assumptions!$C$24+Assumptions!$C$25)-(((Assumptions!$C$14*2)*Assumptions!$C$16)/Assumptions!$C$17*(Assumptions!$C$28+Assumptions!$C$30/Assumptions!$C$33)+((Assumptions!$C$14*2)-((Assumptions!$C$14*2)*Assumptions!$C$16))*(Assumptions!$C$29+Assumptions!$C$31/Assumptions!$C$34)+Assumptions!$C$14*Assumptions!$C$32/Assumptions!$C$35)/1000000</f>
        <v>-10.6932604166667</v>
      </c>
      <c r="F19" s="39" t="n">
        <f aca="false">((((Assumptions!$C$14*2)*Assumptions!$C$16)*120*365/1000000)*Assumptions!$C$21+(((Assumptions!$C$14*2)-((Assumptions!$C$14*2)*Assumptions!$C$16))*Assumptions!$C$19*365/1000000)*Assumptions!$C$22)*(1-Assumptions!$C$26)-((((Assumptions!$C$14*2)*Assumptions!$C$16)*120*365/1000000)+(((Assumptions!$C$14*2)-((Assumptions!$C$14*2)*Assumptions!$C$16))*Assumptions!$C$19*365/1000000))*(Assumptions!$C$24+Assumptions!$C$25)-(((Assumptions!$C$14*2)*Assumptions!$C$16)/Assumptions!$C$17*(Assumptions!$C$28+Assumptions!$C$30/Assumptions!$C$33)+((Assumptions!$C$14*2)-((Assumptions!$C$14*2)*Assumptions!$C$16))*(Assumptions!$C$29+Assumptions!$C$31/Assumptions!$C$34)+Assumptions!$C$14*Assumptions!$C$32/Assumptions!$C$35)/1000000</f>
        <v>-7.96306041666667</v>
      </c>
      <c r="G19" s="39" t="n">
        <f aca="false">((((Assumptions!$C$14*2)*Assumptions!$C$16)*140*365/1000000)*Assumptions!$C$21+(((Assumptions!$C$14*2)-((Assumptions!$C$14*2)*Assumptions!$C$16))*Assumptions!$C$19*365/1000000)*Assumptions!$C$22)*(1-Assumptions!$C$26)-((((Assumptions!$C$14*2)*Assumptions!$C$16)*140*365/1000000)+(((Assumptions!$C$14*2)-((Assumptions!$C$14*2)*Assumptions!$C$16))*Assumptions!$C$19*365/1000000))*(Assumptions!$C$24+Assumptions!$C$25)-(((Assumptions!$C$14*2)*Assumptions!$C$16)/Assumptions!$C$17*(Assumptions!$C$28+Assumptions!$C$30/Assumptions!$C$33)+((Assumptions!$C$14*2)-((Assumptions!$C$14*2)*Assumptions!$C$16))*(Assumptions!$C$29+Assumptions!$C$31/Assumptions!$C$34)+Assumptions!$C$14*Assumptions!$C$32/Assumptions!$C$35)/1000000</f>
        <v>-5.23286041666667</v>
      </c>
      <c r="H19" s="39" t="n">
        <f aca="false">((((Assumptions!$C$14*2)*Assumptions!$C$16)*160*365/1000000)*Assumptions!$C$21+(((Assumptions!$C$14*2)-((Assumptions!$C$14*2)*Assumptions!$C$16))*Assumptions!$C$19*365/1000000)*Assumptions!$C$22)*(1-Assumptions!$C$26)-((((Assumptions!$C$14*2)*Assumptions!$C$16)*160*365/1000000)+(((Assumptions!$C$14*2)-((Assumptions!$C$14*2)*Assumptions!$C$16))*Assumptions!$C$19*365/1000000))*(Assumptions!$C$24+Assumptions!$C$25)-(((Assumptions!$C$14*2)*Assumptions!$C$16)/Assumptions!$C$17*(Assumptions!$C$28+Assumptions!$C$30/Assumptions!$C$33)+((Assumptions!$C$14*2)-((Assumptions!$C$14*2)*Assumptions!$C$16))*(Assumptions!$C$29+Assumptions!$C$31/Assumptions!$C$34)+Assumptions!$C$14*Assumptions!$C$32/Assumptions!$C$35)/1000000</f>
        <v>-2.50266041666667</v>
      </c>
    </row>
    <row r="20" customFormat="false" ht="15" hidden="false" customHeight="true" outlineLevel="0" collapsed="false">
      <c r="A20" s="52" t="n">
        <v>3</v>
      </c>
      <c r="B20" s="39" t="n">
        <f aca="false">((((Assumptions!$C$14*3)*Assumptions!$C$16)*40*365/1000000)*Assumptions!$C$21+(((Assumptions!$C$14*3)-((Assumptions!$C$14*3)*Assumptions!$C$16))*Assumptions!$C$19*365/1000000)*Assumptions!$C$22)*(1-Assumptions!$C$26)-((((Assumptions!$C$14*3)*Assumptions!$C$16)*40*365/1000000)+(((Assumptions!$C$14*3)-((Assumptions!$C$14*3)*Assumptions!$C$16))*Assumptions!$C$19*365/1000000))*(Assumptions!$C$24+Assumptions!$C$25)-(((Assumptions!$C$14*3)*Assumptions!$C$16)/Assumptions!$C$17*(Assumptions!$C$28+Assumptions!$C$30/Assumptions!$C$33)+((Assumptions!$C$14*3)-((Assumptions!$C$14*3)*Assumptions!$C$16))*(Assumptions!$C$29+Assumptions!$C$31/Assumptions!$C$34)+Assumptions!$C$14*Assumptions!$C$32/Assumptions!$C$35)/1000000</f>
        <v>-26.125790625</v>
      </c>
      <c r="C20" s="39" t="n">
        <f aca="false">((((Assumptions!$C$14*3)*Assumptions!$C$16)*60*365/1000000)*Assumptions!$C$21+(((Assumptions!$C$14*3)-((Assumptions!$C$14*3)*Assumptions!$C$16))*Assumptions!$C$19*365/1000000)*Assumptions!$C$22)*(1-Assumptions!$C$26)-((((Assumptions!$C$14*3)*Assumptions!$C$16)*60*365/1000000)+(((Assumptions!$C$14*3)-((Assumptions!$C$14*3)*Assumptions!$C$16))*Assumptions!$C$19*365/1000000))*(Assumptions!$C$24+Assumptions!$C$25)-(((Assumptions!$C$14*3)*Assumptions!$C$16)/Assumptions!$C$17*(Assumptions!$C$28+Assumptions!$C$30/Assumptions!$C$33)+((Assumptions!$C$14*3)-((Assumptions!$C$14*3)*Assumptions!$C$16))*(Assumptions!$C$29+Assumptions!$C$31/Assumptions!$C$34)+Assumptions!$C$14*Assumptions!$C$32/Assumptions!$C$35)/1000000</f>
        <v>-22.030490625</v>
      </c>
      <c r="D20" s="39" t="n">
        <f aca="false">((((Assumptions!$C$14*3)*Assumptions!$C$16)*80*365/1000000)*Assumptions!$C$21+(((Assumptions!$C$14*3)-((Assumptions!$C$14*3)*Assumptions!$C$16))*Assumptions!$C$19*365/1000000)*Assumptions!$C$22)*(1-Assumptions!$C$26)-((((Assumptions!$C$14*3)*Assumptions!$C$16)*80*365/1000000)+(((Assumptions!$C$14*3)-((Assumptions!$C$14*3)*Assumptions!$C$16))*Assumptions!$C$19*365/1000000))*(Assumptions!$C$24+Assumptions!$C$25)-(((Assumptions!$C$14*3)*Assumptions!$C$16)/Assumptions!$C$17*(Assumptions!$C$28+Assumptions!$C$30/Assumptions!$C$33)+((Assumptions!$C$14*3)-((Assumptions!$C$14*3)*Assumptions!$C$16))*(Assumptions!$C$29+Assumptions!$C$31/Assumptions!$C$34)+Assumptions!$C$14*Assumptions!$C$32/Assumptions!$C$35)/1000000</f>
        <v>-17.935190625</v>
      </c>
      <c r="E20" s="39" t="n">
        <f aca="false">((((Assumptions!$C$14*3)*Assumptions!$C$16)*100*365/1000000)*Assumptions!$C$21+(((Assumptions!$C$14*3)-((Assumptions!$C$14*3)*Assumptions!$C$16))*Assumptions!$C$19*365/1000000)*Assumptions!$C$22)*(1-Assumptions!$C$26)-((((Assumptions!$C$14*3)*Assumptions!$C$16)*100*365/1000000)+(((Assumptions!$C$14*3)-((Assumptions!$C$14*3)*Assumptions!$C$16))*Assumptions!$C$19*365/1000000))*(Assumptions!$C$24+Assumptions!$C$25)-(((Assumptions!$C$14*3)*Assumptions!$C$16)/Assumptions!$C$17*(Assumptions!$C$28+Assumptions!$C$30/Assumptions!$C$33)+((Assumptions!$C$14*3)-((Assumptions!$C$14*3)*Assumptions!$C$16))*(Assumptions!$C$29+Assumptions!$C$31/Assumptions!$C$34)+Assumptions!$C$14*Assumptions!$C$32/Assumptions!$C$35)/1000000</f>
        <v>-13.839890625</v>
      </c>
      <c r="F20" s="39" t="n">
        <f aca="false">((((Assumptions!$C$14*3)*Assumptions!$C$16)*120*365/1000000)*Assumptions!$C$21+(((Assumptions!$C$14*3)-((Assumptions!$C$14*3)*Assumptions!$C$16))*Assumptions!$C$19*365/1000000)*Assumptions!$C$22)*(1-Assumptions!$C$26)-((((Assumptions!$C$14*3)*Assumptions!$C$16)*120*365/1000000)+(((Assumptions!$C$14*3)-((Assumptions!$C$14*3)*Assumptions!$C$16))*Assumptions!$C$19*365/1000000))*(Assumptions!$C$24+Assumptions!$C$25)-(((Assumptions!$C$14*3)*Assumptions!$C$16)/Assumptions!$C$17*(Assumptions!$C$28+Assumptions!$C$30/Assumptions!$C$33)+((Assumptions!$C$14*3)-((Assumptions!$C$14*3)*Assumptions!$C$16))*(Assumptions!$C$29+Assumptions!$C$31/Assumptions!$C$34)+Assumptions!$C$14*Assumptions!$C$32/Assumptions!$C$35)/1000000</f>
        <v>-9.74459062500001</v>
      </c>
      <c r="G20" s="39" t="n">
        <f aca="false">((((Assumptions!$C$14*3)*Assumptions!$C$16)*140*365/1000000)*Assumptions!$C$21+(((Assumptions!$C$14*3)-((Assumptions!$C$14*3)*Assumptions!$C$16))*Assumptions!$C$19*365/1000000)*Assumptions!$C$22)*(1-Assumptions!$C$26)-((((Assumptions!$C$14*3)*Assumptions!$C$16)*140*365/1000000)+(((Assumptions!$C$14*3)-((Assumptions!$C$14*3)*Assumptions!$C$16))*Assumptions!$C$19*365/1000000))*(Assumptions!$C$24+Assumptions!$C$25)-(((Assumptions!$C$14*3)*Assumptions!$C$16)/Assumptions!$C$17*(Assumptions!$C$28+Assumptions!$C$30/Assumptions!$C$33)+((Assumptions!$C$14*3)-((Assumptions!$C$14*3)*Assumptions!$C$16))*(Assumptions!$C$29+Assumptions!$C$31/Assumptions!$C$34)+Assumptions!$C$14*Assumptions!$C$32/Assumptions!$C$35)/1000000</f>
        <v>-5.64929062500001</v>
      </c>
      <c r="H20" s="39" t="n">
        <f aca="false">((((Assumptions!$C$14*3)*Assumptions!$C$16)*160*365/1000000)*Assumptions!$C$21+(((Assumptions!$C$14*3)-((Assumptions!$C$14*3)*Assumptions!$C$16))*Assumptions!$C$19*365/1000000)*Assumptions!$C$22)*(1-Assumptions!$C$26)-((((Assumptions!$C$14*3)*Assumptions!$C$16)*160*365/1000000)+(((Assumptions!$C$14*3)-((Assumptions!$C$14*3)*Assumptions!$C$16))*Assumptions!$C$19*365/1000000))*(Assumptions!$C$24+Assumptions!$C$25)-(((Assumptions!$C$14*3)*Assumptions!$C$16)/Assumptions!$C$17*(Assumptions!$C$28+Assumptions!$C$30/Assumptions!$C$33)+((Assumptions!$C$14*3)-((Assumptions!$C$14*3)*Assumptions!$C$16))*(Assumptions!$C$29+Assumptions!$C$31/Assumptions!$C$34)+Assumptions!$C$14*Assumptions!$C$32/Assumptions!$C$35)/1000000</f>
        <v>-1.553990625</v>
      </c>
    </row>
    <row r="21" customFormat="false" ht="15" hidden="false" customHeight="true" outlineLevel="0" collapsed="false">
      <c r="A21" s="52" t="n">
        <v>4</v>
      </c>
      <c r="B21" s="39" t="n">
        <f aca="false">((((Assumptions!$C$14*4)*Assumptions!$C$16)*40*365/1000000)*Assumptions!$C$21+(((Assumptions!$C$14*4)-((Assumptions!$C$14*4)*Assumptions!$C$16))*Assumptions!$C$19*365/1000000)*Assumptions!$C$22)*(1-Assumptions!$C$26)-((((Assumptions!$C$14*4)*Assumptions!$C$16)*40*365/1000000)+(((Assumptions!$C$14*4)-((Assumptions!$C$14*4)*Assumptions!$C$16))*Assumptions!$C$19*365/1000000))*(Assumptions!$C$24+Assumptions!$C$25)-(((Assumptions!$C$14*4)*Assumptions!$C$16)/Assumptions!$C$17*(Assumptions!$C$28+Assumptions!$C$30/Assumptions!$C$33)+((Assumptions!$C$14*4)-((Assumptions!$C$14*4)*Assumptions!$C$16))*(Assumptions!$C$29+Assumptions!$C$31/Assumptions!$C$34)+Assumptions!$C$14*Assumptions!$C$32/Assumptions!$C$35)/1000000</f>
        <v>-33.3677208333333</v>
      </c>
      <c r="C21" s="39" t="n">
        <f aca="false">((((Assumptions!$C$14*4)*Assumptions!$C$16)*60*365/1000000)*Assumptions!$C$21+(((Assumptions!$C$14*4)-((Assumptions!$C$14*4)*Assumptions!$C$16))*Assumptions!$C$19*365/1000000)*Assumptions!$C$22)*(1-Assumptions!$C$26)-((((Assumptions!$C$14*4)*Assumptions!$C$16)*60*365/1000000)+(((Assumptions!$C$14*4)-((Assumptions!$C$14*4)*Assumptions!$C$16))*Assumptions!$C$19*365/1000000))*(Assumptions!$C$24+Assumptions!$C$25)-(((Assumptions!$C$14*4)*Assumptions!$C$16)/Assumptions!$C$17*(Assumptions!$C$28+Assumptions!$C$30/Assumptions!$C$33)+((Assumptions!$C$14*4)-((Assumptions!$C$14*4)*Assumptions!$C$16))*(Assumptions!$C$29+Assumptions!$C$31/Assumptions!$C$34)+Assumptions!$C$14*Assumptions!$C$32/Assumptions!$C$35)/1000000</f>
        <v>-27.9073208333333</v>
      </c>
      <c r="D21" s="39" t="n">
        <f aca="false">((((Assumptions!$C$14*4)*Assumptions!$C$16)*80*365/1000000)*Assumptions!$C$21+(((Assumptions!$C$14*4)-((Assumptions!$C$14*4)*Assumptions!$C$16))*Assumptions!$C$19*365/1000000)*Assumptions!$C$22)*(1-Assumptions!$C$26)-((((Assumptions!$C$14*4)*Assumptions!$C$16)*80*365/1000000)+(((Assumptions!$C$14*4)-((Assumptions!$C$14*4)*Assumptions!$C$16))*Assumptions!$C$19*365/1000000))*(Assumptions!$C$24+Assumptions!$C$25)-(((Assumptions!$C$14*4)*Assumptions!$C$16)/Assumptions!$C$17*(Assumptions!$C$28+Assumptions!$C$30/Assumptions!$C$33)+((Assumptions!$C$14*4)-((Assumptions!$C$14*4)*Assumptions!$C$16))*(Assumptions!$C$29+Assumptions!$C$31/Assumptions!$C$34)+Assumptions!$C$14*Assumptions!$C$32/Assumptions!$C$35)/1000000</f>
        <v>-22.4469208333333</v>
      </c>
      <c r="E21" s="39" t="n">
        <f aca="false">((((Assumptions!$C$14*4)*Assumptions!$C$16)*100*365/1000000)*Assumptions!$C$21+(((Assumptions!$C$14*4)-((Assumptions!$C$14*4)*Assumptions!$C$16))*Assumptions!$C$19*365/1000000)*Assumptions!$C$22)*(1-Assumptions!$C$26)-((((Assumptions!$C$14*4)*Assumptions!$C$16)*100*365/1000000)+(((Assumptions!$C$14*4)-((Assumptions!$C$14*4)*Assumptions!$C$16))*Assumptions!$C$19*365/1000000))*(Assumptions!$C$24+Assumptions!$C$25)-(((Assumptions!$C$14*4)*Assumptions!$C$16)/Assumptions!$C$17*(Assumptions!$C$28+Assumptions!$C$30/Assumptions!$C$33)+((Assumptions!$C$14*4)-((Assumptions!$C$14*4)*Assumptions!$C$16))*(Assumptions!$C$29+Assumptions!$C$31/Assumptions!$C$34)+Assumptions!$C$14*Assumptions!$C$32/Assumptions!$C$35)/1000000</f>
        <v>-16.9865208333333</v>
      </c>
      <c r="F21" s="39" t="n">
        <f aca="false">((((Assumptions!$C$14*4)*Assumptions!$C$16)*120*365/1000000)*Assumptions!$C$21+(((Assumptions!$C$14*4)-((Assumptions!$C$14*4)*Assumptions!$C$16))*Assumptions!$C$19*365/1000000)*Assumptions!$C$22)*(1-Assumptions!$C$26)-((((Assumptions!$C$14*4)*Assumptions!$C$16)*120*365/1000000)+(((Assumptions!$C$14*4)-((Assumptions!$C$14*4)*Assumptions!$C$16))*Assumptions!$C$19*365/1000000))*(Assumptions!$C$24+Assumptions!$C$25)-(((Assumptions!$C$14*4)*Assumptions!$C$16)/Assumptions!$C$17*(Assumptions!$C$28+Assumptions!$C$30/Assumptions!$C$33)+((Assumptions!$C$14*4)-((Assumptions!$C$14*4)*Assumptions!$C$16))*(Assumptions!$C$29+Assumptions!$C$31/Assumptions!$C$34)+Assumptions!$C$14*Assumptions!$C$32/Assumptions!$C$35)/1000000</f>
        <v>-11.5261208333333</v>
      </c>
      <c r="G21" s="39" t="n">
        <f aca="false">((((Assumptions!$C$14*4)*Assumptions!$C$16)*140*365/1000000)*Assumptions!$C$21+(((Assumptions!$C$14*4)-((Assumptions!$C$14*4)*Assumptions!$C$16))*Assumptions!$C$19*365/1000000)*Assumptions!$C$22)*(1-Assumptions!$C$26)-((((Assumptions!$C$14*4)*Assumptions!$C$16)*140*365/1000000)+(((Assumptions!$C$14*4)-((Assumptions!$C$14*4)*Assumptions!$C$16))*Assumptions!$C$19*365/1000000))*(Assumptions!$C$24+Assumptions!$C$25)-(((Assumptions!$C$14*4)*Assumptions!$C$16)/Assumptions!$C$17*(Assumptions!$C$28+Assumptions!$C$30/Assumptions!$C$33)+((Assumptions!$C$14*4)-((Assumptions!$C$14*4)*Assumptions!$C$16))*(Assumptions!$C$29+Assumptions!$C$31/Assumptions!$C$34)+Assumptions!$C$14*Assumptions!$C$32/Assumptions!$C$35)/1000000</f>
        <v>-6.06572083333334</v>
      </c>
      <c r="H21" s="39" t="n">
        <f aca="false">((((Assumptions!$C$14*4)*Assumptions!$C$16)*160*365/1000000)*Assumptions!$C$21+(((Assumptions!$C$14*4)-((Assumptions!$C$14*4)*Assumptions!$C$16))*Assumptions!$C$19*365/1000000)*Assumptions!$C$22)*(1-Assumptions!$C$26)-((((Assumptions!$C$14*4)*Assumptions!$C$16)*160*365/1000000)+(((Assumptions!$C$14*4)-((Assumptions!$C$14*4)*Assumptions!$C$16))*Assumptions!$C$19*365/1000000))*(Assumptions!$C$24+Assumptions!$C$25)-(((Assumptions!$C$14*4)*Assumptions!$C$16)/Assumptions!$C$17*(Assumptions!$C$28+Assumptions!$C$30/Assumptions!$C$33)+((Assumptions!$C$14*4)-((Assumptions!$C$14*4)*Assumptions!$C$16))*(Assumptions!$C$29+Assumptions!$C$31/Assumptions!$C$34)+Assumptions!$C$14*Assumptions!$C$32/Assumptions!$C$35)/1000000</f>
        <v>-0.605320833333344</v>
      </c>
    </row>
    <row r="22" customFormat="false" ht="15" hidden="false" customHeight="true" outlineLevel="0" collapsed="false">
      <c r="A22" s="52" t="n">
        <v>5</v>
      </c>
      <c r="B22" s="39" t="n">
        <f aca="false">((((Assumptions!$C$14*5)*Assumptions!$C$16)*40*365/1000000)*Assumptions!$C$21+(((Assumptions!$C$14*5)-((Assumptions!$C$14*5)*Assumptions!$C$16))*Assumptions!$C$19*365/1000000)*Assumptions!$C$22)*(1-Assumptions!$C$26)-((((Assumptions!$C$14*5)*Assumptions!$C$16)*40*365/1000000)+(((Assumptions!$C$14*5)-((Assumptions!$C$14*5)*Assumptions!$C$16))*Assumptions!$C$19*365/1000000))*(Assumptions!$C$24+Assumptions!$C$25)-(((Assumptions!$C$14*5)*Assumptions!$C$16)/Assumptions!$C$17*(Assumptions!$C$28+Assumptions!$C$30/Assumptions!$C$33)+((Assumptions!$C$14*5)-((Assumptions!$C$14*5)*Assumptions!$C$16))*(Assumptions!$C$29+Assumptions!$C$31/Assumptions!$C$34)+Assumptions!$C$14*Assumptions!$C$32/Assumptions!$C$35)/1000000</f>
        <v>-40.6096510416667</v>
      </c>
      <c r="C22" s="39" t="n">
        <f aca="false">((((Assumptions!$C$14*5)*Assumptions!$C$16)*60*365/1000000)*Assumptions!$C$21+(((Assumptions!$C$14*5)-((Assumptions!$C$14*5)*Assumptions!$C$16))*Assumptions!$C$19*365/1000000)*Assumptions!$C$22)*(1-Assumptions!$C$26)-((((Assumptions!$C$14*5)*Assumptions!$C$16)*60*365/1000000)+(((Assumptions!$C$14*5)-((Assumptions!$C$14*5)*Assumptions!$C$16))*Assumptions!$C$19*365/1000000))*(Assumptions!$C$24+Assumptions!$C$25)-(((Assumptions!$C$14*5)*Assumptions!$C$16)/Assumptions!$C$17*(Assumptions!$C$28+Assumptions!$C$30/Assumptions!$C$33)+((Assumptions!$C$14*5)-((Assumptions!$C$14*5)*Assumptions!$C$16))*(Assumptions!$C$29+Assumptions!$C$31/Assumptions!$C$34)+Assumptions!$C$14*Assumptions!$C$32/Assumptions!$C$35)/1000000</f>
        <v>-33.7841510416667</v>
      </c>
      <c r="D22" s="39" t="n">
        <f aca="false">((((Assumptions!$C$14*5)*Assumptions!$C$16)*80*365/1000000)*Assumptions!$C$21+(((Assumptions!$C$14*5)-((Assumptions!$C$14*5)*Assumptions!$C$16))*Assumptions!$C$19*365/1000000)*Assumptions!$C$22)*(1-Assumptions!$C$26)-((((Assumptions!$C$14*5)*Assumptions!$C$16)*80*365/1000000)+(((Assumptions!$C$14*5)-((Assumptions!$C$14*5)*Assumptions!$C$16))*Assumptions!$C$19*365/1000000))*(Assumptions!$C$24+Assumptions!$C$25)-(((Assumptions!$C$14*5)*Assumptions!$C$16)/Assumptions!$C$17*(Assumptions!$C$28+Assumptions!$C$30/Assumptions!$C$33)+((Assumptions!$C$14*5)-((Assumptions!$C$14*5)*Assumptions!$C$16))*(Assumptions!$C$29+Assumptions!$C$31/Assumptions!$C$34)+Assumptions!$C$14*Assumptions!$C$32/Assumptions!$C$35)/1000000</f>
        <v>-26.9586510416667</v>
      </c>
      <c r="E22" s="39" t="n">
        <f aca="false">((((Assumptions!$C$14*5)*Assumptions!$C$16)*100*365/1000000)*Assumptions!$C$21+(((Assumptions!$C$14*5)-((Assumptions!$C$14*5)*Assumptions!$C$16))*Assumptions!$C$19*365/1000000)*Assumptions!$C$22)*(1-Assumptions!$C$26)-((((Assumptions!$C$14*5)*Assumptions!$C$16)*100*365/1000000)+(((Assumptions!$C$14*5)-((Assumptions!$C$14*5)*Assumptions!$C$16))*Assumptions!$C$19*365/1000000))*(Assumptions!$C$24+Assumptions!$C$25)-(((Assumptions!$C$14*5)*Assumptions!$C$16)/Assumptions!$C$17*(Assumptions!$C$28+Assumptions!$C$30/Assumptions!$C$33)+((Assumptions!$C$14*5)-((Assumptions!$C$14*5)*Assumptions!$C$16))*(Assumptions!$C$29+Assumptions!$C$31/Assumptions!$C$34)+Assumptions!$C$14*Assumptions!$C$32/Assumptions!$C$35)/1000000</f>
        <v>-20.1331510416667</v>
      </c>
      <c r="F22" s="39" t="n">
        <f aca="false">((((Assumptions!$C$14*5)*Assumptions!$C$16)*120*365/1000000)*Assumptions!$C$21+(((Assumptions!$C$14*5)-((Assumptions!$C$14*5)*Assumptions!$C$16))*Assumptions!$C$19*365/1000000)*Assumptions!$C$22)*(1-Assumptions!$C$26)-((((Assumptions!$C$14*5)*Assumptions!$C$16)*120*365/1000000)+(((Assumptions!$C$14*5)-((Assumptions!$C$14*5)*Assumptions!$C$16))*Assumptions!$C$19*365/1000000))*(Assumptions!$C$24+Assumptions!$C$25)-(((Assumptions!$C$14*5)*Assumptions!$C$16)/Assumptions!$C$17*(Assumptions!$C$28+Assumptions!$C$30/Assumptions!$C$33)+((Assumptions!$C$14*5)-((Assumptions!$C$14*5)*Assumptions!$C$16))*(Assumptions!$C$29+Assumptions!$C$31/Assumptions!$C$34)+Assumptions!$C$14*Assumptions!$C$32/Assumptions!$C$35)/1000000</f>
        <v>-13.3076510416667</v>
      </c>
      <c r="G22" s="39" t="n">
        <f aca="false">((((Assumptions!$C$14*5)*Assumptions!$C$16)*140*365/1000000)*Assumptions!$C$21+(((Assumptions!$C$14*5)-((Assumptions!$C$14*5)*Assumptions!$C$16))*Assumptions!$C$19*365/1000000)*Assumptions!$C$22)*(1-Assumptions!$C$26)-((((Assumptions!$C$14*5)*Assumptions!$C$16)*140*365/1000000)+(((Assumptions!$C$14*5)-((Assumptions!$C$14*5)*Assumptions!$C$16))*Assumptions!$C$19*365/1000000))*(Assumptions!$C$24+Assumptions!$C$25)-(((Assumptions!$C$14*5)*Assumptions!$C$16)/Assumptions!$C$17*(Assumptions!$C$28+Assumptions!$C$30/Assumptions!$C$33)+((Assumptions!$C$14*5)-((Assumptions!$C$14*5)*Assumptions!$C$16))*(Assumptions!$C$29+Assumptions!$C$31/Assumptions!$C$34)+Assumptions!$C$14*Assumptions!$C$32/Assumptions!$C$35)/1000000</f>
        <v>-6.48215104166668</v>
      </c>
      <c r="H22" s="39" t="n">
        <f aca="false">((((Assumptions!$C$14*5)*Assumptions!$C$16)*160*365/1000000)*Assumptions!$C$21+(((Assumptions!$C$14*5)-((Assumptions!$C$14*5)*Assumptions!$C$16))*Assumptions!$C$19*365/1000000)*Assumptions!$C$22)*(1-Assumptions!$C$26)-((((Assumptions!$C$14*5)*Assumptions!$C$16)*160*365/1000000)+(((Assumptions!$C$14*5)-((Assumptions!$C$14*5)*Assumptions!$C$16))*Assumptions!$C$19*365/1000000))*(Assumptions!$C$24+Assumptions!$C$25)-(((Assumptions!$C$14*5)*Assumptions!$C$16)/Assumptions!$C$17*(Assumptions!$C$28+Assumptions!$C$30/Assumptions!$C$33)+((Assumptions!$C$14*5)-((Assumptions!$C$14*5)*Assumptions!$C$16))*(Assumptions!$C$29+Assumptions!$C$31/Assumptions!$C$34)+Assumptions!$C$14*Assumptions!$C$32/Assumptions!$C$35)/1000000</f>
        <v>0.343348958333323</v>
      </c>
    </row>
    <row r="23" customFormat="false" ht="15" hidden="false" customHeight="true" outlineLevel="0" collapsed="false">
      <c r="A23" s="52" t="n">
        <v>6</v>
      </c>
      <c r="B23" s="39" t="n">
        <f aca="false">((((Assumptions!$C$14*6)*Assumptions!$C$16)*40*365/1000000)*Assumptions!$C$21+(((Assumptions!$C$14*6)-((Assumptions!$C$14*6)*Assumptions!$C$16))*Assumptions!$C$19*365/1000000)*Assumptions!$C$22)*(1-Assumptions!$C$26)-((((Assumptions!$C$14*6)*Assumptions!$C$16)*40*365/1000000)+(((Assumptions!$C$14*6)-((Assumptions!$C$14*6)*Assumptions!$C$16))*Assumptions!$C$19*365/1000000))*(Assumptions!$C$24+Assumptions!$C$25)-(((Assumptions!$C$14*6)*Assumptions!$C$16)/Assumptions!$C$17*(Assumptions!$C$28+Assumptions!$C$30/Assumptions!$C$33)+((Assumptions!$C$14*6)-((Assumptions!$C$14*6)*Assumptions!$C$16))*(Assumptions!$C$29+Assumptions!$C$31/Assumptions!$C$34)+Assumptions!$C$14*Assumptions!$C$32/Assumptions!$C$35)/1000000</f>
        <v>-47.85158125</v>
      </c>
      <c r="C23" s="39" t="n">
        <f aca="false">((((Assumptions!$C$14*6)*Assumptions!$C$16)*60*365/1000000)*Assumptions!$C$21+(((Assumptions!$C$14*6)-((Assumptions!$C$14*6)*Assumptions!$C$16))*Assumptions!$C$19*365/1000000)*Assumptions!$C$22)*(1-Assumptions!$C$26)-((((Assumptions!$C$14*6)*Assumptions!$C$16)*60*365/1000000)+(((Assumptions!$C$14*6)-((Assumptions!$C$14*6)*Assumptions!$C$16))*Assumptions!$C$19*365/1000000))*(Assumptions!$C$24+Assumptions!$C$25)-(((Assumptions!$C$14*6)*Assumptions!$C$16)/Assumptions!$C$17*(Assumptions!$C$28+Assumptions!$C$30/Assumptions!$C$33)+((Assumptions!$C$14*6)-((Assumptions!$C$14*6)*Assumptions!$C$16))*(Assumptions!$C$29+Assumptions!$C$31/Assumptions!$C$34)+Assumptions!$C$14*Assumptions!$C$32/Assumptions!$C$35)/1000000</f>
        <v>-39.66098125</v>
      </c>
      <c r="D23" s="39" t="n">
        <f aca="false">((((Assumptions!$C$14*6)*Assumptions!$C$16)*80*365/1000000)*Assumptions!$C$21+(((Assumptions!$C$14*6)-((Assumptions!$C$14*6)*Assumptions!$C$16))*Assumptions!$C$19*365/1000000)*Assumptions!$C$22)*(1-Assumptions!$C$26)-((((Assumptions!$C$14*6)*Assumptions!$C$16)*80*365/1000000)+(((Assumptions!$C$14*6)-((Assumptions!$C$14*6)*Assumptions!$C$16))*Assumptions!$C$19*365/1000000))*(Assumptions!$C$24+Assumptions!$C$25)-(((Assumptions!$C$14*6)*Assumptions!$C$16)/Assumptions!$C$17*(Assumptions!$C$28+Assumptions!$C$30/Assumptions!$C$33)+((Assumptions!$C$14*6)-((Assumptions!$C$14*6)*Assumptions!$C$16))*(Assumptions!$C$29+Assumptions!$C$31/Assumptions!$C$34)+Assumptions!$C$14*Assumptions!$C$32/Assumptions!$C$35)/1000000</f>
        <v>-31.47038125</v>
      </c>
      <c r="E23" s="39" t="n">
        <f aca="false">((((Assumptions!$C$14*6)*Assumptions!$C$16)*100*365/1000000)*Assumptions!$C$21+(((Assumptions!$C$14*6)-((Assumptions!$C$14*6)*Assumptions!$C$16))*Assumptions!$C$19*365/1000000)*Assumptions!$C$22)*(1-Assumptions!$C$26)-((((Assumptions!$C$14*6)*Assumptions!$C$16)*100*365/1000000)+(((Assumptions!$C$14*6)-((Assumptions!$C$14*6)*Assumptions!$C$16))*Assumptions!$C$19*365/1000000))*(Assumptions!$C$24+Assumptions!$C$25)-(((Assumptions!$C$14*6)*Assumptions!$C$16)/Assumptions!$C$17*(Assumptions!$C$28+Assumptions!$C$30/Assumptions!$C$33)+((Assumptions!$C$14*6)-((Assumptions!$C$14*6)*Assumptions!$C$16))*(Assumptions!$C$29+Assumptions!$C$31/Assumptions!$C$34)+Assumptions!$C$14*Assumptions!$C$32/Assumptions!$C$35)/1000000</f>
        <v>-23.27978125</v>
      </c>
      <c r="F23" s="39" t="n">
        <f aca="false">((((Assumptions!$C$14*6)*Assumptions!$C$16)*120*365/1000000)*Assumptions!$C$21+(((Assumptions!$C$14*6)-((Assumptions!$C$14*6)*Assumptions!$C$16))*Assumptions!$C$19*365/1000000)*Assumptions!$C$22)*(1-Assumptions!$C$26)-((((Assumptions!$C$14*6)*Assumptions!$C$16)*120*365/1000000)+(((Assumptions!$C$14*6)-((Assumptions!$C$14*6)*Assumptions!$C$16))*Assumptions!$C$19*365/1000000))*(Assumptions!$C$24+Assumptions!$C$25)-(((Assumptions!$C$14*6)*Assumptions!$C$16)/Assumptions!$C$17*(Assumptions!$C$28+Assumptions!$C$30/Assumptions!$C$33)+((Assumptions!$C$14*6)-((Assumptions!$C$14*6)*Assumptions!$C$16))*(Assumptions!$C$29+Assumptions!$C$31/Assumptions!$C$34)+Assumptions!$C$14*Assumptions!$C$32/Assumptions!$C$35)/1000000</f>
        <v>-15.08918125</v>
      </c>
      <c r="G23" s="39" t="n">
        <f aca="false">((((Assumptions!$C$14*6)*Assumptions!$C$16)*140*365/1000000)*Assumptions!$C$21+(((Assumptions!$C$14*6)-((Assumptions!$C$14*6)*Assumptions!$C$16))*Assumptions!$C$19*365/1000000)*Assumptions!$C$22)*(1-Assumptions!$C$26)-((((Assumptions!$C$14*6)*Assumptions!$C$16)*140*365/1000000)+(((Assumptions!$C$14*6)-((Assumptions!$C$14*6)*Assumptions!$C$16))*Assumptions!$C$19*365/1000000))*(Assumptions!$C$24+Assumptions!$C$25)-(((Assumptions!$C$14*6)*Assumptions!$C$16)/Assumptions!$C$17*(Assumptions!$C$28+Assumptions!$C$30/Assumptions!$C$33)+((Assumptions!$C$14*6)-((Assumptions!$C$14*6)*Assumptions!$C$16))*(Assumptions!$C$29+Assumptions!$C$31/Assumptions!$C$34)+Assumptions!$C$14*Assumptions!$C$32/Assumptions!$C$35)/1000000</f>
        <v>-6.89858125000003</v>
      </c>
      <c r="H23" s="39" t="n">
        <f aca="false">((((Assumptions!$C$14*6)*Assumptions!$C$16)*160*365/1000000)*Assumptions!$C$21+(((Assumptions!$C$14*6)-((Assumptions!$C$14*6)*Assumptions!$C$16))*Assumptions!$C$19*365/1000000)*Assumptions!$C$22)*(1-Assumptions!$C$26)-((((Assumptions!$C$14*6)*Assumptions!$C$16)*160*365/1000000)+(((Assumptions!$C$14*6)-((Assumptions!$C$14*6)*Assumptions!$C$16))*Assumptions!$C$19*365/1000000))*(Assumptions!$C$24+Assumptions!$C$25)-(((Assumptions!$C$14*6)*Assumptions!$C$16)/Assumptions!$C$17*(Assumptions!$C$28+Assumptions!$C$30/Assumptions!$C$33)+((Assumptions!$C$14*6)-((Assumptions!$C$14*6)*Assumptions!$C$16))*(Assumptions!$C$29+Assumptions!$C$31/Assumptions!$C$34)+Assumptions!$C$14*Assumptions!$C$32/Assumptions!$C$35)/1000000</f>
        <v>1.29201874999998</v>
      </c>
    </row>
    <row r="24" customFormat="false" ht="15" hidden="false" customHeight="true" outlineLevel="0" collapsed="false">
      <c r="A24" s="52" t="n">
        <v>8</v>
      </c>
      <c r="B24" s="39" t="n">
        <f aca="false">((((Assumptions!$C$14*8)*Assumptions!$C$16)*40*365/1000000)*Assumptions!$C$21+(((Assumptions!$C$14*8)-((Assumptions!$C$14*8)*Assumptions!$C$16))*Assumptions!$C$19*365/1000000)*Assumptions!$C$22)*(1-Assumptions!$C$26)-((((Assumptions!$C$14*8)*Assumptions!$C$16)*40*365/1000000)+(((Assumptions!$C$14*8)-((Assumptions!$C$14*8)*Assumptions!$C$16))*Assumptions!$C$19*365/1000000))*(Assumptions!$C$24+Assumptions!$C$25)-(((Assumptions!$C$14*8)*Assumptions!$C$16)/Assumptions!$C$17*(Assumptions!$C$28+Assumptions!$C$30/Assumptions!$C$33)+((Assumptions!$C$14*8)-((Assumptions!$C$14*8)*Assumptions!$C$16))*(Assumptions!$C$29+Assumptions!$C$31/Assumptions!$C$34)+Assumptions!$C$14*Assumptions!$C$32/Assumptions!$C$35)/1000000</f>
        <v>-62.3354416666667</v>
      </c>
      <c r="C24" s="39" t="n">
        <f aca="false">((((Assumptions!$C$14*8)*Assumptions!$C$16)*60*365/1000000)*Assumptions!$C$21+(((Assumptions!$C$14*8)-((Assumptions!$C$14*8)*Assumptions!$C$16))*Assumptions!$C$19*365/1000000)*Assumptions!$C$22)*(1-Assumptions!$C$26)-((((Assumptions!$C$14*8)*Assumptions!$C$16)*60*365/1000000)+(((Assumptions!$C$14*8)-((Assumptions!$C$14*8)*Assumptions!$C$16))*Assumptions!$C$19*365/1000000))*(Assumptions!$C$24+Assumptions!$C$25)-(((Assumptions!$C$14*8)*Assumptions!$C$16)/Assumptions!$C$17*(Assumptions!$C$28+Assumptions!$C$30/Assumptions!$C$33)+((Assumptions!$C$14*8)-((Assumptions!$C$14*8)*Assumptions!$C$16))*(Assumptions!$C$29+Assumptions!$C$31/Assumptions!$C$34)+Assumptions!$C$14*Assumptions!$C$32/Assumptions!$C$35)/1000000</f>
        <v>-51.4146416666667</v>
      </c>
      <c r="D24" s="39" t="n">
        <f aca="false">((((Assumptions!$C$14*8)*Assumptions!$C$16)*80*365/1000000)*Assumptions!$C$21+(((Assumptions!$C$14*8)-((Assumptions!$C$14*8)*Assumptions!$C$16))*Assumptions!$C$19*365/1000000)*Assumptions!$C$22)*(1-Assumptions!$C$26)-((((Assumptions!$C$14*8)*Assumptions!$C$16)*80*365/1000000)+(((Assumptions!$C$14*8)-((Assumptions!$C$14*8)*Assumptions!$C$16))*Assumptions!$C$19*365/1000000))*(Assumptions!$C$24+Assumptions!$C$25)-(((Assumptions!$C$14*8)*Assumptions!$C$16)/Assumptions!$C$17*(Assumptions!$C$28+Assumptions!$C$30/Assumptions!$C$33)+((Assumptions!$C$14*8)-((Assumptions!$C$14*8)*Assumptions!$C$16))*(Assumptions!$C$29+Assumptions!$C$31/Assumptions!$C$34)+Assumptions!$C$14*Assumptions!$C$32/Assumptions!$C$35)/1000000</f>
        <v>-40.4938416666667</v>
      </c>
      <c r="E24" s="39" t="n">
        <f aca="false">((((Assumptions!$C$14*8)*Assumptions!$C$16)*100*365/1000000)*Assumptions!$C$21+(((Assumptions!$C$14*8)-((Assumptions!$C$14*8)*Assumptions!$C$16))*Assumptions!$C$19*365/1000000)*Assumptions!$C$22)*(1-Assumptions!$C$26)-((((Assumptions!$C$14*8)*Assumptions!$C$16)*100*365/1000000)+(((Assumptions!$C$14*8)-((Assumptions!$C$14*8)*Assumptions!$C$16))*Assumptions!$C$19*365/1000000))*(Assumptions!$C$24+Assumptions!$C$25)-(((Assumptions!$C$14*8)*Assumptions!$C$16)/Assumptions!$C$17*(Assumptions!$C$28+Assumptions!$C$30/Assumptions!$C$33)+((Assumptions!$C$14*8)-((Assumptions!$C$14*8)*Assumptions!$C$16))*(Assumptions!$C$29+Assumptions!$C$31/Assumptions!$C$34)+Assumptions!$C$14*Assumptions!$C$32/Assumptions!$C$35)/1000000</f>
        <v>-29.5730416666667</v>
      </c>
      <c r="F24" s="39" t="n">
        <f aca="false">((((Assumptions!$C$14*8)*Assumptions!$C$16)*120*365/1000000)*Assumptions!$C$21+(((Assumptions!$C$14*8)-((Assumptions!$C$14*8)*Assumptions!$C$16))*Assumptions!$C$19*365/1000000)*Assumptions!$C$22)*(1-Assumptions!$C$26)-((((Assumptions!$C$14*8)*Assumptions!$C$16)*120*365/1000000)+(((Assumptions!$C$14*8)-((Assumptions!$C$14*8)*Assumptions!$C$16))*Assumptions!$C$19*365/1000000))*(Assumptions!$C$24+Assumptions!$C$25)-(((Assumptions!$C$14*8)*Assumptions!$C$16)/Assumptions!$C$17*(Assumptions!$C$28+Assumptions!$C$30/Assumptions!$C$33)+((Assumptions!$C$14*8)-((Assumptions!$C$14*8)*Assumptions!$C$16))*(Assumptions!$C$29+Assumptions!$C$31/Assumptions!$C$34)+Assumptions!$C$14*Assumptions!$C$32/Assumptions!$C$35)/1000000</f>
        <v>-18.6522416666667</v>
      </c>
      <c r="G24" s="39" t="n">
        <f aca="false">((((Assumptions!$C$14*8)*Assumptions!$C$16)*140*365/1000000)*Assumptions!$C$21+(((Assumptions!$C$14*8)-((Assumptions!$C$14*8)*Assumptions!$C$16))*Assumptions!$C$19*365/1000000)*Assumptions!$C$22)*(1-Assumptions!$C$26)-((((Assumptions!$C$14*8)*Assumptions!$C$16)*140*365/1000000)+(((Assumptions!$C$14*8)-((Assumptions!$C$14*8)*Assumptions!$C$16))*Assumptions!$C$19*365/1000000))*(Assumptions!$C$24+Assumptions!$C$25)-(((Assumptions!$C$14*8)*Assumptions!$C$16)/Assumptions!$C$17*(Assumptions!$C$28+Assumptions!$C$30/Assumptions!$C$33)+((Assumptions!$C$14*8)-((Assumptions!$C$14*8)*Assumptions!$C$16))*(Assumptions!$C$29+Assumptions!$C$31/Assumptions!$C$34)+Assumptions!$C$14*Assumptions!$C$32/Assumptions!$C$35)/1000000</f>
        <v>-7.73144166666667</v>
      </c>
      <c r="H24" s="39" t="n">
        <f aca="false">((((Assumptions!$C$14*8)*Assumptions!$C$16)*160*365/1000000)*Assumptions!$C$21+(((Assumptions!$C$14*8)-((Assumptions!$C$14*8)*Assumptions!$C$16))*Assumptions!$C$19*365/1000000)*Assumptions!$C$22)*(1-Assumptions!$C$26)-((((Assumptions!$C$14*8)*Assumptions!$C$16)*160*365/1000000)+(((Assumptions!$C$14*8)-((Assumptions!$C$14*8)*Assumptions!$C$16))*Assumptions!$C$19*365/1000000))*(Assumptions!$C$24+Assumptions!$C$25)-(((Assumptions!$C$14*8)*Assumptions!$C$16)/Assumptions!$C$17*(Assumptions!$C$28+Assumptions!$C$30/Assumptions!$C$33)+((Assumptions!$C$14*8)-((Assumptions!$C$14*8)*Assumptions!$C$16))*(Assumptions!$C$29+Assumptions!$C$31/Assumptions!$C$34)+Assumptions!$C$14*Assumptions!$C$32/Assumptions!$C$35)/1000000</f>
        <v>3.18935833333332</v>
      </c>
    </row>
    <row r="27" customFormat="false" ht="15" hidden="false" customHeight="true" outlineLevel="0" collapsed="false">
      <c r="A27" s="29" t="s">
        <v>278</v>
      </c>
    </row>
    <row r="28" customFormat="false" ht="31.5" hidden="false" customHeight="true" outlineLevel="0" collapsed="false">
      <c r="A28" s="8" t="s">
        <v>279</v>
      </c>
      <c r="B28" s="8" t="s">
        <v>280</v>
      </c>
      <c r="C28" s="8" t="s">
        <v>281</v>
      </c>
      <c r="D28" s="8" t="s">
        <v>282</v>
      </c>
    </row>
    <row r="29" customFormat="false" ht="42" hidden="false" customHeight="true" outlineLevel="0" collapsed="false">
      <c r="A29" s="23" t="s">
        <v>71</v>
      </c>
      <c r="B29" s="33" t="n">
        <f aca="false">Assumptions!$C$18</f>
        <v>80</v>
      </c>
      <c r="C29" s="10" t="s">
        <v>283</v>
      </c>
      <c r="D29" s="13" t="s">
        <v>284</v>
      </c>
    </row>
    <row r="30" customFormat="false" ht="42" hidden="false" customHeight="true" outlineLevel="0" collapsed="false">
      <c r="A30" s="23" t="s">
        <v>285</v>
      </c>
      <c r="B30" s="33" t="n">
        <f aca="false">Assumptions!$C$15</f>
        <v>4</v>
      </c>
      <c r="C30" s="10" t="s">
        <v>286</v>
      </c>
      <c r="D30" s="13" t="s">
        <v>287</v>
      </c>
    </row>
    <row r="31" customFormat="false" ht="42" hidden="false" customHeight="true" outlineLevel="0" collapsed="false">
      <c r="A31" s="23" t="s">
        <v>288</v>
      </c>
      <c r="B31" s="50" t="n">
        <f aca="false">Assumptions!$C$21-Assumptions!$C$24-Assumptions!$C$25</f>
        <v>0.37</v>
      </c>
      <c r="C31" s="10" t="s">
        <v>289</v>
      </c>
      <c r="D31" s="13" t="s">
        <v>290</v>
      </c>
    </row>
    <row r="33" customFormat="false" ht="39.75" hidden="false" customHeight="true" outlineLevel="0" collapsed="false">
      <c r="A33" s="31" t="s">
        <v>291</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LibreOffice/26.2.4.2$Linux_AARCH64 LibreOffice_project/620$Build-2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2026-07-27T08:43:24Z</dcterms:created>
  <dc:creator>openpyxl</dc:creator>
  <dc:description/>
  <dc:language>en-US</dc:language>
  <cp:lastModifiedBy/>
  <dcterms:modified xsi:type="dcterms:W3CDTF">2026-07-27T09:32:58Z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