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Assumptions" sheetId="2" state="visible" r:id="rId4"/>
    <sheet name="SpendSeries" sheetId="3" state="visible" r:id="rId5"/>
    <sheet name="PriceVolume" sheetId="4" state="visible" r:id="rId6"/>
    <sheet name="Drivers" sheetId="5" state="visible" r:id="rId7"/>
    <sheet name="Benchmark" sheetId="6" state="visible" r:id="rId8"/>
    <sheet name="SourceRegister" sheetId="7" state="visible" r:id="rId9"/>
    <sheet name="Funnel"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<sst xmlns="http://schemas.openxmlformats.org/spreadsheetml/2006/main" count="603" uniqueCount="400">
  <si>
    <t xml:space="preserve">WP1 — Market attractiveness and sizing · supporting model</t>
  </si>
  <si>
    <t xml:space="preserve">Kestrel Ridge Partners · Project Paws commercial due diligence · KRP-DD-2026-014</t>
  </si>
  <si>
    <t xml:space="preserve">Built 27 July 2026 · public data only · draft for consultant review, not for client circulation</t>
  </si>
  <si>
    <t xml:space="preserve">COLOUR LEGEND</t>
  </si>
  <si>
    <t xml:space="preserve">Blue text</t>
  </si>
  <si>
    <t xml:space="preserve">Hardcoded input from a named public source. Edit here.</t>
  </si>
  <si>
    <t xml:space="preserve">Black text</t>
  </si>
  <si>
    <t xml:space="preserve">Formula. Do not overwrite.</t>
  </si>
  <si>
    <t xml:space="preserve">Green text</t>
  </si>
  <si>
    <t xml:space="preserve">Link to another sheet in this workbook.</t>
  </si>
  <si>
    <t xml:space="preserve">Yellow fill</t>
  </si>
  <si>
    <t xml:space="preserve">Hypothesis, not a sourced fact. Replace with data-room evidence when it arrives.</t>
  </si>
  <si>
    <t xml:space="preserve">SHEETS</t>
  </si>
  <si>
    <t xml:space="preserve">Assumptions</t>
  </si>
  <si>
    <t xml:space="preserve">Every hardcoded input except the six Southeast state rows, which sit on Funnel rows 18-23 with their own basis and confidence.</t>
  </si>
  <si>
    <t xml:space="preserve">SpendSeries</t>
  </si>
  <si>
    <t xml:space="preserve">Nominal spend, CPI veterinarian services, rebased indices, real index. Exhibit E1.</t>
  </si>
  <si>
    <t xml:space="preserve">PriceVolume</t>
  </si>
  <si>
    <t xml:space="preserve">2025 revenue growth decomposed into price, volume and residual mix. Exhibit E2 and E3.</t>
  </si>
  <si>
    <t xml:space="preserve">Funnel</t>
  </si>
  <si>
    <t xml:space="preserve">TAM to SAM to SOM, every step with its basis and confidence. Exhibit E5.</t>
  </si>
  <si>
    <t xml:space="preserve">Drivers</t>
  </si>
  <si>
    <t xml:space="preserve">Six structural drivers scored on direction and confidence. Exhibit E6.</t>
  </si>
  <si>
    <t xml:space="preserve">Benchmark</t>
  </si>
  <si>
    <t xml:space="preserve">Target revenue per clinic against the AVMA US average. Exhibit E7.</t>
  </si>
  <si>
    <t xml:space="preserve">SourceRegister</t>
  </si>
  <si>
    <t xml:space="preserve">Every source with URL, publisher and what it supports.</t>
  </si>
  <si>
    <t xml:space="preserve">CONFIDENCE CONVENTION</t>
  </si>
  <si>
    <t xml:space="preserve">Verified</t>
  </si>
  <si>
    <t xml:space="preserve">Identified, traceable source.</t>
  </si>
  <si>
    <t xml:space="preserve">Probable</t>
  </si>
  <si>
    <t xml:space="preserve">Consistent with several sources, not directly confirmed.</t>
  </si>
  <si>
    <t xml:space="preserve">Hypothesis</t>
  </si>
  <si>
    <t xml:space="preserve">Plausible reasoning without a source. Flagged yellow wherever it drives a number.</t>
  </si>
  <si>
    <t xml:space="preserve">WARNING — FOUR inputs are flagged Hypothesis and each drives a number: the GP share in the TAM, the 0.90 regional spend index in the SAM, and the two catchment bounds in the SOM. The TAM swings about +/-12% on the GP and companion shares. A sourced general-practice-versus-specialty revenue split is the highest-value research gap in this work package.</t>
  </si>
  <si>
    <t xml:space="preserve">No figure in this workbook comes from the target's data room. Internal figures of the target come from the data room, never from an estimate.</t>
  </si>
  <si>
    <t xml:space="preserve">Assumptions and inputs — every hardcoded number in the model</t>
  </si>
  <si>
    <t xml:space="preserve">Blue = input. Yellow fill = hypothesis. Southeast state inputs live on the Funnel sheet (rows 18-23) — see note at row 42.</t>
  </si>
  <si>
    <t xml:space="preserve">Ref</t>
  </si>
  <si>
    <t xml:space="preserve">Input</t>
  </si>
  <si>
    <t xml:space="preserve">Value</t>
  </si>
  <si>
    <t xml:space="preserve">Unit / basis</t>
  </si>
  <si>
    <t xml:space="preserve">Period</t>
  </si>
  <si>
    <t xml:space="preserve">Confidence</t>
  </si>
  <si>
    <t xml:space="preserve">Source</t>
  </si>
  <si>
    <t xml:space="preserve">A01</t>
  </si>
  <si>
    <t xml:space="preserve">US veterinary care and product sales, 2019</t>
  </si>
  <si>
    <t xml:space="preserve">USD bn, current</t>
  </si>
  <si>
    <t xml:space="preserve">2019</t>
  </si>
  <si>
    <t xml:space="preserve">APPA</t>
  </si>
  <si>
    <t xml:space="preserve">A02</t>
  </si>
  <si>
    <t xml:space="preserve">US veterinary care and product sales, 2021</t>
  </si>
  <si>
    <t xml:space="preserve">2021</t>
  </si>
  <si>
    <t xml:space="preserve">A03</t>
  </si>
  <si>
    <t xml:space="preserve">US veterinary care and product sales, 2022</t>
  </si>
  <si>
    <t xml:space="preserve">2022</t>
  </si>
  <si>
    <t xml:space="preserve">A04</t>
  </si>
  <si>
    <t xml:space="preserve">US veterinary care and product sales, 2023</t>
  </si>
  <si>
    <t xml:space="preserve">2023</t>
  </si>
  <si>
    <t xml:space="preserve">Derived: 39.8 / 1.039</t>
  </si>
  <si>
    <t xml:space="preserve">A05</t>
  </si>
  <si>
    <t xml:space="preserve">US veterinary care and product sales, 2024</t>
  </si>
  <si>
    <t xml:space="preserve">2024</t>
  </si>
  <si>
    <t xml:space="preserve">A06</t>
  </si>
  <si>
    <t xml:space="preserve">US veterinary care and product sales, 2025</t>
  </si>
  <si>
    <t xml:space="preserve">2025</t>
  </si>
  <si>
    <t xml:space="preserve">A07</t>
  </si>
  <si>
    <t xml:space="preserve">CPI veterinarian services, 2019</t>
  </si>
  <si>
    <t xml:space="preserve">Index, 1997 = 100</t>
  </si>
  <si>
    <t xml:space="preserve">BLS</t>
  </si>
  <si>
    <t xml:space="preserve">A08</t>
  </si>
  <si>
    <t xml:space="preserve">CPI veterinarian services, 2020</t>
  </si>
  <si>
    <t xml:space="preserve">2020</t>
  </si>
  <si>
    <t xml:space="preserve">A09</t>
  </si>
  <si>
    <t xml:space="preserve">CPI veterinarian services, 2021</t>
  </si>
  <si>
    <t xml:space="preserve">A10</t>
  </si>
  <si>
    <t xml:space="preserve">CPI veterinarian services, 2022</t>
  </si>
  <si>
    <t xml:space="preserve">A11</t>
  </si>
  <si>
    <t xml:space="preserve">CPI veterinarian services, 2023</t>
  </si>
  <si>
    <t xml:space="preserve">A12</t>
  </si>
  <si>
    <t xml:space="preserve">CPI veterinarian services, 2024</t>
  </si>
  <si>
    <t xml:space="preserve">A13</t>
  </si>
  <si>
    <t xml:space="preserve">CPI veterinarian services, 2025</t>
  </si>
  <si>
    <t xml:space="preserve">A14</t>
  </si>
  <si>
    <t xml:space="preserve">Clinical visit growth, 2023</t>
  </si>
  <si>
    <t xml:space="preserve">% YoY</t>
  </si>
  <si>
    <t xml:space="preserve">Vetsource, 6,451 practices</t>
  </si>
  <si>
    <t xml:space="preserve">A15</t>
  </si>
  <si>
    <t xml:space="preserve">Clinical visit growth, 2024</t>
  </si>
  <si>
    <t xml:space="preserve">A16</t>
  </si>
  <si>
    <t xml:space="preserve">Clinical visit growth, 2025</t>
  </si>
  <si>
    <t xml:space="preserve">A17</t>
  </si>
  <si>
    <t xml:space="preserve">IDEXX US same-store clinical visits, FY2025</t>
  </si>
  <si>
    <t xml:space="preserve">IDEXX FY2025</t>
  </si>
  <si>
    <t xml:space="preserve">A18</t>
  </si>
  <si>
    <t xml:space="preserve">National practice revenue growth, 2025</t>
  </si>
  <si>
    <t xml:space="preserve">Vetsource</t>
  </si>
  <si>
    <t xml:space="preserve">A19</t>
  </si>
  <si>
    <t xml:space="preserve">Wellness visit growth, 2025</t>
  </si>
  <si>
    <t xml:space="preserve">A20</t>
  </si>
  <si>
    <t xml:space="preserve">Product-only visit growth, 2025</t>
  </si>
  <si>
    <t xml:space="preserve">A21</t>
  </si>
  <si>
    <t xml:space="preserve">US veterinary services revenue, NAICS 54194</t>
  </si>
  <si>
    <t xml:space="preserve">USD bn, total industry</t>
  </si>
  <si>
    <t xml:space="preserve">IBISWorld</t>
  </si>
  <si>
    <t xml:space="preserve">[A22 and A23 removed at round 3 — the two unsourced 0.78 shares are superseded by the sourced companion share (A38) and the GP share used in the funnel.]</t>
  </si>
  <si>
    <t xml:space="preserve">A24</t>
  </si>
  <si>
    <t xml:space="preserve">APPA vet care and product sales (TAM cross-check)</t>
  </si>
  <si>
    <t xml:space="preserve">USD bn, consumer out-of-pocket</t>
  </si>
  <si>
    <t xml:space="preserve">A25</t>
  </si>
  <si>
    <t xml:space="preserve">Spend per pet household, Southeast vs US index</t>
  </si>
  <si>
    <t xml:space="preserve">ratio</t>
  </si>
  <si>
    <t xml:space="preserve">HYPOTHESIS</t>
  </si>
  <si>
    <t xml:space="preserve">Southeast median income below US — no direct source</t>
  </si>
  <si>
    <t xml:space="preserve">A26</t>
  </si>
  <si>
    <t xml:space="preserve">Competing GP clinics per catchment — low</t>
  </si>
  <si>
    <t xml:space="preserve">count</t>
  </si>
  <si>
    <t xml:space="preserve">Analyst estimate — no source</t>
  </si>
  <si>
    <t xml:space="preserve">A27</t>
  </si>
  <si>
    <t xml:space="preserve">Competing GP clinics per catchment — high</t>
  </si>
  <si>
    <t xml:space="preserve">A28</t>
  </si>
  <si>
    <t xml:space="preserve">Average US practice gross revenue (perimeter NOT established)</t>
  </si>
  <si>
    <t xml:space="preserve">USD m</t>
  </si>
  <si>
    <t xml:space="preserve">AVMA — coverage of GP vs all practice types not stated in source</t>
  </si>
  <si>
    <t xml:space="preserve">A29</t>
  </si>
  <si>
    <t xml:space="preserve">Clinics in the platform</t>
  </si>
  <si>
    <t xml:space="preserve">2026</t>
  </si>
  <si>
    <t xml:space="preserve">Mandate KRP-DD-2026-014</t>
  </si>
  <si>
    <t xml:space="preserve">A30</t>
  </si>
  <si>
    <t xml:space="preserve">Target revenue</t>
  </si>
  <si>
    <t xml:space="preserve">A31</t>
  </si>
  <si>
    <t xml:space="preserve">US pet-owning households</t>
  </si>
  <si>
    <t xml:space="preserve">millions</t>
  </si>
  <si>
    <t xml:space="preserve">AVMA</t>
  </si>
  <si>
    <t xml:space="preserve">A32</t>
  </si>
  <si>
    <t xml:space="preserve">US total households</t>
  </si>
  <si>
    <t xml:space="preserve">US Census-derived</t>
  </si>
  <si>
    <t xml:space="preserve">A33</t>
  </si>
  <si>
    <t xml:space="preserve">Pet insurance penetration, US dogs and cats</t>
  </si>
  <si>
    <t xml:space="preserve">% of pets</t>
  </si>
  <si>
    <t xml:space="preserve">YE2024</t>
  </si>
  <si>
    <t xml:space="preserve">NAPHIA</t>
  </si>
  <si>
    <t xml:space="preserve">A34</t>
  </si>
  <si>
    <t xml:space="preserve">Active clients per practice</t>
  </si>
  <si>
    <t xml:space="preserve">2020 spend is deliberately absent — not found in a citable APPA release and not interpolated.</t>
  </si>
  <si>
    <t xml:space="preserve">A35</t>
  </si>
  <si>
    <t xml:space="preserve">US veterinary businesses, NAICS 54194</t>
  </si>
  <si>
    <t xml:space="preserve">A36</t>
  </si>
  <si>
    <t xml:space="preserve">Practice revenue growth, 2025 (for ageing a REVENUE benchmark)</t>
  </si>
  <si>
    <t xml:space="preserve">Vetsource national</t>
  </si>
  <si>
    <t xml:space="preserve">A38</t>
  </si>
  <si>
    <t xml:space="preserve">Companion-animal share of US veterinary services revenue</t>
  </si>
  <si>
    <t xml:space="preserve">% of NAICS 54194</t>
  </si>
  <si>
    <t xml:space="preserve">Mordor Intelligence 2025 (62.68%)</t>
  </si>
  <si>
    <t xml:space="preserve">[product-leakage input removed at round 4 — orphaned when the TAM moved to a practice-revenue basis]</t>
  </si>
  <si>
    <t xml:space="preserve">A40</t>
  </si>
  <si>
    <t xml:space="preserve">Specialty and emergency share of companion-animal vet services</t>
  </si>
  <si>
    <t xml:space="preserve">%</t>
  </si>
  <si>
    <t xml:space="preserve">ADDED ROUND 2. The previous TAM averaged a top-down ESTIMATE with the APPA figure. APPA is not an independent derivation of companion-animal GP — it is that market's CEILING, because GP is a subset of companion-animal veterinary care and products. Averaging an estimate with its own ceiling produced a GP-only TAM ABOVE all companion-animal veterinary spend. The funnel now works DOWN from the bound.</t>
  </si>
  <si>
    <t xml:space="preserve">Exhibit E1 — Nominal versus deflated US veterinary spend, indexed 2019 = 100</t>
  </si>
  <si>
    <t xml:space="preserve">Nominal spend rose ~40% from 2019 to 2025. Veterinary service prices rose ~47%. Deflated, the market is smaller than in 2019.</t>
  </si>
  <si>
    <t xml:space="preserve">Year</t>
  </si>
  <si>
    <t xml:space="preserve">Nominal spend ($bn)</t>
  </si>
  <si>
    <t xml:space="preserve">Nominal index (2019=100)</t>
  </si>
  <si>
    <t xml:space="preserve">CPI vet services (1997=100)</t>
  </si>
  <si>
    <t xml:space="preserve">CPI index (2019=100)</t>
  </si>
  <si>
    <t xml:space="preserve">Real index (2019=100)</t>
  </si>
  <si>
    <t xml:space="preserve">Real YoY</t>
  </si>
  <si>
    <t xml:space="preserve">n/a</t>
  </si>
  <si>
    <t xml:space="preserve">SO WHAT</t>
  </si>
  <si>
    <t xml:space="preserve">Nominal growth, 2019 to 2025</t>
  </si>
  <si>
    <t xml:space="preserve">Price growth, 2019 to 2025</t>
  </si>
  <si>
    <t xml:space="preserve">REAL growth, 2019 to 2025</t>
  </si>
  <si>
    <t xml:space="preserve">Real peak year</t>
  </si>
  <si>
    <t xml:space="preserve">Real spending peaked in 2021 at +8.3% versus 2019 and has fallen in every year since. The deflated market is now below its pre-pandemic baseline, on a pet population that is materially larger.</t>
  </si>
  <si>
    <t xml:space="preserve">Caveat: APPA restated its series during this period, and the spend line bundles clinic services with product sales that increasingly leak to online pharmacies. Both effects flatter the nominal series, so the real decline is a floor, not a ceiling.</t>
  </si>
  <si>
    <t xml:space="preserve">Exhibit E2 — 2025 revenue growth decomposed into price and volume</t>
  </si>
  <si>
    <t xml:space="preserve">Revenue growth of ~2.5% against price growth of ~6.5% is a volume decline of about 4%.</t>
  </si>
  <si>
    <t xml:space="preserve">Component</t>
  </si>
  <si>
    <t xml:space="preserve">Contribution</t>
  </si>
  <si>
    <t xml:space="preserve">Basis</t>
  </si>
  <si>
    <t xml:space="preserve">Price</t>
  </si>
  <si>
    <t xml:space="preserve">BLS CPI veterinarian services, 2025 versus 2024 (SpendSeries E11/E10)</t>
  </si>
  <si>
    <t xml:space="preserve">Visit volume</t>
  </si>
  <si>
    <t xml:space="preserve">Vetsource, 6,451 US practices</t>
  </si>
  <si>
    <t xml:space="preserve">Mix and intensity (residual)</t>
  </si>
  <si>
    <t xml:space="preserve">Residual to reconcile to reported revenue. Not a measurement.</t>
  </si>
  <si>
    <t xml:space="preserve">Total revenue growth</t>
  </si>
  <si>
    <t xml:space="preserve">Vetsource national, reported</t>
  </si>
  <si>
    <t xml:space="preserve">Check versus reported</t>
  </si>
  <si>
    <t xml:space="preserve">Must be zero — the residual is defined to close it.</t>
  </si>
  <si>
    <t xml:space="preserve">Exhibit E3 — Visit decline: TWO volume sources and one price index (not three datasets)</t>
  </si>
  <si>
    <t xml:space="preserve">Dataset</t>
  </si>
  <si>
    <t xml:space="preserve">Method</t>
  </si>
  <si>
    <t xml:space="preserve">Vetsource (6,451 practices)</t>
  </si>
  <si>
    <t xml:space="preserve">Transactional feed, clinical visits</t>
  </si>
  <si>
    <t xml:space="preserve">IDEXX same-store</t>
  </si>
  <si>
    <t xml:space="preserve">Same-store US clinical visits, FY2025</t>
  </si>
  <si>
    <t xml:space="preserve">Vetsource — wellness visits</t>
  </si>
  <si>
    <t xml:space="preserve">Preventive care specifically — falling faster than total</t>
  </si>
  <si>
    <t xml:space="preserve">Vetsource — product-only visits</t>
  </si>
  <si>
    <t xml:space="preserve">Falling fastest — consistent with leakage to online pharmacy</t>
  </si>
  <si>
    <t xml:space="preserve">Two volume sources built on entirely different collection methods agree on DIRECTION. They differ on MAGNITUDE by roughly 60% (-1.9% IDEXX same-store vs -3.1% Vetsource). Substituting IDEXX moves the mix residual from -0.9pp to -2.1pp: the residual is not robust and no conclusion about mix should rest on it.</t>
  </si>
  <si>
    <t xml:space="preserve">Exhibit E6 — Structural driver assessment</t>
  </si>
  <si>
    <t xml:space="preserve">Two drivers point up, three are neutral or immaterial, one points down. The one pointing down is the one that binds the organic growth case.</t>
  </si>
  <si>
    <t xml:space="preserve">Driver</t>
  </si>
  <si>
    <t xml:space="preserve">Direction</t>
  </si>
  <si>
    <t xml:space="preserve">Score</t>
  </si>
  <si>
    <t xml:space="preserve">Evidence</t>
  </si>
  <si>
    <t xml:space="preserve">Pet population</t>
  </si>
  <si>
    <t xml:space="preserve">Positive, decelerating</t>
  </si>
  <si>
    <t xml:space="preserve">Dogs 89.7m in 2024, cats 73.8m; dog-owning households 45.5%. CAUTION: AVMA reports 80.1m dogs in 2023, a 12% single-year move against a stated 1.94% CAGR — a survey break, not a population event.</t>
  </si>
  <si>
    <t xml:space="preserve">Medicalisation</t>
  </si>
  <si>
    <t xml:space="preserve">Positive — strongest real driver</t>
  </si>
  <si>
    <t xml:space="preserve">IDEXX US CAG Diagnostics ~5% volume and ~4% net price, Q4 2025. Revenue premium over visits of ~950-1,100bps. Testing per visit is genuinely rising.</t>
  </si>
  <si>
    <t xml:space="preserve">Pet insurance</t>
  </si>
  <si>
    <t xml:space="preserve">Positive but immaterial in the hold period</t>
  </si>
  <si>
    <t xml:space="preserve">Only 3.9% of US dogs and cats insured. 6.41m insured pets, $4.74bn GWP at YE2024, up from ~3.1m and ~$2bn in 2020.</t>
  </si>
  <si>
    <t xml:space="preserve">Veterinarian labour supply</t>
  </si>
  <si>
    <t xml:space="preserve">CONTESTED — not settled either way</t>
  </si>
  <si>
    <t xml:space="preserve">Brakke Consulting for AVMA (Oct 2024): graduates from EXISTING US colleges likely enough to meet demand to 2035. But only ~4% of vets by 2035 come from new colleges — real impact lands AFTER 2035, i.e. outside a PE hold. National only; no Southeast vacancy or wage evidence. Mars Veterinary Health (Aug 2023) claims the opposite: up to 55,000 more vets needed by 2030.</t>
  </si>
  <si>
    <t xml:space="preserve">Probable (national evidence only)</t>
  </si>
  <si>
    <t xml:space="preserve">Affordability / price sensitivity</t>
  </si>
  <si>
    <t xml:space="preserve">NEGATIVE — the binding constraint</t>
  </si>
  <si>
    <t xml:space="preserve">Deferral intent doubled 10% to 19% (Cleveland Research, Q2'22-Q2'23). Only 28.2% of owners extremely satisfied with cost. Active clients per practice falling ~95/yr since 2019, to 3,351 in 2024.</t>
  </si>
  <si>
    <t xml:space="preserve">Corporate consolidation</t>
  </si>
  <si>
    <t xml:space="preserve">Mixed — see WP3</t>
  </si>
  <si>
    <t xml:space="preserve">Consolidators hold ~25% of GP clinics and ~50% of industry revenue, from under 10% a decade ago.</t>
  </si>
  <si>
    <t xml:space="preserve">Net score — WITHDRAWN and deleted</t>
  </si>
  <si>
    <t xml:space="preserve">The scale is ordinal and directional only: it RANKS drivers, it does not weight them. Summing it was withdrawn at QA — a net score implies a cardinal scale this does not have.</t>
  </si>
  <si>
    <t xml:space="preserve">Two findings the seller may overstate: pet insurance cannot move demand at 3.9% penetration inside the hold period, and the veterinarian-supply question is CONTESTED — Brakke/AVMA says supply is adequate to 2035, Mars says 55,000 short by 2030, and new-school capacity arrives after 2035 either way.</t>
  </si>
  <si>
    <t xml:space="preserve">Exhibit E7 — Target revenue per clinic against the AVMA US average</t>
  </si>
  <si>
    <t xml:space="preserve">Raised as new data-room item P1-e. Benign explanations exist; so do unfavourable ones. It should not be answered live at IC.</t>
  </si>
  <si>
    <t xml:space="preserve">Metric</t>
  </si>
  <si>
    <t xml:space="preserve">Unit</t>
  </si>
  <si>
    <t xml:space="preserve">Mandate</t>
  </si>
  <si>
    <t xml:space="preserve">Clinics</t>
  </si>
  <si>
    <t xml:space="preserve">Implied revenue per clinic</t>
  </si>
  <si>
    <t xml:space="preserve">Derived</t>
  </si>
  <si>
    <t xml:space="preserve">AVMA average US practice gross revenue (perimeter NOT established)</t>
  </si>
  <si>
    <t xml:space="preserve">AVMA Economic State of the Profession, 2024</t>
  </si>
  <si>
    <t xml:space="preserve">Gap to benchmark</t>
  </si>
  <si>
    <t xml:space="preserve">Unexplained on public data</t>
  </si>
  <si>
    <t xml:space="preserve">POSSIBLE EXPLANATIONS — to be settled by data-room item P1-e</t>
  </si>
  <si>
    <t xml:space="preserve">Benign: clinics materially larger than the US average practice.</t>
  </si>
  <si>
    <t xml:space="preserve">Benign: specialty or ER lines carried inside the platform.</t>
  </si>
  <si>
    <t xml:space="preserve">Benign: multi-veterinarian sites, or ancillary revenue such as boarding.</t>
  </si>
  <si>
    <t xml:space="preserve">Unfavourable: acquired-practice revenue not yet in a comparable same-store perimeter.</t>
  </si>
  <si>
    <t xml:space="preserve">PERIOD MISMATCH — the gap is not 1.9x on a like-for-like basis</t>
  </si>
  <si>
    <t xml:space="preserve">AVMA benchmark year</t>
  </si>
  <si>
    <t xml:space="preserve">Target revenue basis</t>
  </si>
  <si>
    <t xml:space="preserve">current (mandate: 'approximately $120M')</t>
  </si>
  <si>
    <t xml:space="preserve">Benchmark aged 2 yrs at PRACTICE REVENUE growth (2.5%)</t>
  </si>
  <si>
    <t xml:space="preserve">Gap on aged benchmark</t>
  </si>
  <si>
    <t xml:space="preserve">Gap as printed (2024 benchmark)</t>
  </si>
  <si>
    <t xml:space="preserve">Report the gap as ~1.8-1.9x. Ageing at CPI vet services (6.46%) was WRONG — that is price only, and this workbook establishes practice REVENUE grew 2.5% because volume fell 3.1%. Also unestablished: whether the AVMA benchmark covers companion-animal GP only or all practice types. The finding survives; the precise multiple does not.</t>
  </si>
  <si>
    <t xml:space="preserve">Superseded — aged at CPI vet services (price only), shown for audit trail</t>
  </si>
  <si>
    <t xml:space="preserve">Gap on that superseded ageing</t>
  </si>
  <si>
    <t xml:space="preserve">Source register — every source used in WP1</t>
  </si>
  <si>
    <t xml:space="preserve">#</t>
  </si>
  <si>
    <t xml:space="preserve">Publisher</t>
  </si>
  <si>
    <t xml:space="preserve">What it supports</t>
  </si>
  <si>
    <t xml:space="preserve">URL</t>
  </si>
  <si>
    <t xml:space="preserve">APPA (American Pet Products Association)</t>
  </si>
  <si>
    <t xml:space="preserve">Total pet industry $158bn 2025; veterinary care and product sales $41bn 2025, $39.8bn 2024, $35.9bn 2022, $34.3bn 2021, $29.3bn 2019</t>
  </si>
  <si>
    <t xml:space="preserve">https://americanpetproducts.org/news/u.s.-pet-industry-reaches-158-billion-in-2025-poised-for-continued-growth-in-2026</t>
  </si>
  <si>
    <t xml:space="preserve">US Bureau of Labor Statistics (via Official Data Foundation)</t>
  </si>
  <si>
    <t xml:space="preserve">CPI veterinarian services annual index 1997-2026; +9.44% 2023, +7.40% 2024, +6.46% 2025</t>
  </si>
  <si>
    <t xml:space="preserve">https://www.in2013dollars.com/Veterinarian-services/price-inflation</t>
  </si>
  <si>
    <t xml:space="preserve">Pet population 89.7m dogs and 73.8m cats 2024; dog-owning households 45.5%; average household vet spend -4% 2023-24; visit cost $190 to $147</t>
  </si>
  <si>
    <t xml:space="preserve">https://www.avma.org/news/pet-population-continues-increase-while-pet-spending-declines</t>
  </si>
  <si>
    <t xml:space="preserve">Client price sensitivity: deferral intent 10% to 19% (Cleveland Research); lapsing patients rising; visits per patient 2.39</t>
  </si>
  <si>
    <t xml:space="preserve">https://www.avma.org/news/facing-economic-uncertainty-clients-delay-veterinary-visits</t>
  </si>
  <si>
    <t xml:space="preserve">IDEXX Laboratories Q4/FY2025 press release, 30 January 2026</t>
  </si>
  <si>
    <t xml:space="preserve">US same-store clinical visits ~-1.7% in Q4 and -1.9% for full-year 2025; US net price ~4%, volume ~5% in CAG Diagnostics</t>
  </si>
  <si>
    <t xml:space="preserve">https://ir.idexx.com/news-events/press-releases/detail/405/idexx-laboratories-announces-fourth-quarter-and-full-year-2025-results</t>
  </si>
  <si>
    <t xml:space="preserve">Vetsource / CARE for Pets white paper</t>
  </si>
  <si>
    <t xml:space="preserve">Clinical visits -3.1% 2025, -2.6% 2024, -1.4% 2023; wellness -3.8%; product-only -6.2%; revenue ~+2.5%; 6,451 practices</t>
  </si>
  <si>
    <t xml:space="preserve">https://www.pets.care/news/2026/01/new-white-paper-reveals-veterinary-visits-decline-3-point-1-percent-in-2025-as-negative-trend-continues/</t>
  </si>
  <si>
    <t xml:space="preserve">IDEXX Laboratories Q3 2025</t>
  </si>
  <si>
    <t xml:space="preserve">US same-store clinical visits -1.2% in Q3; diagnostics revenue premium ~950bps</t>
  </si>
  <si>
    <t xml:space="preserve">https://www.idexx.com/files/2025-q3-prepared-remarks.pdf</t>
  </si>
  <si>
    <t xml:space="preserve">Brakke Consulting for AVMA — 'Forecasting Supply and Demand Indicators for US Veterinarians 2024-2035' (Oct 2024)</t>
  </si>
  <si>
    <t xml:space="preserve">Graduates from existing US colleges likely enough to meet demand to 2035; 13 colleges pursuing accreditation plus 3 admitting; only ~4% of vets by 2035 from new colleges, real impact after 2035</t>
  </si>
  <si>
    <t xml:space="preserve">https://www.avma.org/news/no-dire-shortage-veterinarians-anticipated-coming-years</t>
  </si>
  <si>
    <t xml:space="preserve">IBISWorld, NAICS 54194</t>
  </si>
  <si>
    <t xml:space="preserve">US veterinary services market $68.7bn 2025 (+1.7%); 56,756 businesses; $74.5bn 2026</t>
  </si>
  <si>
    <t xml:space="preserve">https://www.ibisworld.com/united-states/market-size/veterinary-services/1447/</t>
  </si>
  <si>
    <t xml:space="preserve">NAPHIA State of the Industry 2025</t>
  </si>
  <si>
    <t xml:space="preserve">Pet insurance penetration 3.9% of US dogs and cats; dogs 5.46%, cats 2.04%; 6,405,541 insured pets; $4.74bn GWP YE2024</t>
  </si>
  <si>
    <t xml:space="preserve">https://naphia.org/news/naphia-news/soi-report-2025/</t>
  </si>
  <si>
    <t xml:space="preserve">AAVMC — 'Demand for and Supply of Veterinarians in the U.S. to 2032'</t>
  </si>
  <si>
    <t xml:space="preserve">SEPARATE study from the Brakke/AVMA one above. Demand projections to 2032, supply to 2035. Do not conflate the two.</t>
  </si>
  <si>
    <t xml:space="preserve">https://aavmc.org/wp-content/uploads/2024/06/Demand-for-and-Supply-of-Veterinarians-in-the-U.S.-to-2032-New.pdf</t>
  </si>
  <si>
    <t xml:space="preserve">AVMA — workforce</t>
  </si>
  <si>
    <t xml:space="preserve">No dire shortage anticipated; ~4,000 graduates enter US workforce annually; three new schools graduated 2023-2025</t>
  </si>
  <si>
    <t xml:space="preserve">US Census-derived state household counts</t>
  </si>
  <si>
    <t xml:space="preserve">Households by state 2024: FL 8.75m, NC 4.28m, GA 4.07m, TN 2.82m, SC 2.12m, AL 2.00m; US 129.23m</t>
  </si>
  <si>
    <t xml:space="preserve">https://worldpopulationreview.com/state-rankings/households-by-state</t>
  </si>
  <si>
    <t xml:space="preserve">World Population Review / multiple surveys</t>
  </si>
  <si>
    <t xml:space="preserve">State pet-ownership rates: TN 62%, AL 59.8%, NC 59%, FL 56%, GA 51%, SC 45.3%</t>
  </si>
  <si>
    <t xml:space="preserve">https://worldpopulationreview.com/state-rankings/pet-ownership-statistics-by-state</t>
  </si>
  <si>
    <t xml:space="preserve">Trade press, multiple</t>
  </si>
  <si>
    <t xml:space="preserve">Corporate consolidators hold ~25% of GP clinics and ~50% of industry revenue, from under 10% a decade ago</t>
  </si>
  <si>
    <t xml:space="preserve">https://www.pets.care/corporate-consolidator-ownership-of-veterinary-practices/</t>
  </si>
  <si>
    <t xml:space="preserve">Transitions Elite / Ackerman Group</t>
  </si>
  <si>
    <t xml:space="preserve">Practice multiples 8-14x EBITDA mid-2025, down from 12-18x in 2021-early 2022. Feeds WP4</t>
  </si>
  <si>
    <t xml:space="preserve">https://transitionselite.com/how-much-private-equity-is-paying-for-veterinary-practices/</t>
  </si>
  <si>
    <t xml:space="preserve">Mars Veterinary Health, 'Pet Healthcare in the U.S.: Another Look at the Veterinarian Workforce' (Aug 2023)</t>
  </si>
  <si>
    <t xml:space="preserve">COUNTER-VIEW: claims the US needs up to 55,000 additional veterinarians by 2030. Brakke rebuts the method (no supply/demand curves; linear projection). Commercially interested party — Mars operates ~3,000 clinics.</t>
  </si>
  <si>
    <t xml:space="preserve">https://marsveterinary.com/tackling-the-veterinary-professional-shortage/</t>
  </si>
  <si>
    <t xml:space="preserve">Trade press / AAHA, corporate consolidation of veterinary practice</t>
  </si>
  <si>
    <t xml:space="preserve">Roughly 75% of SPECIALTY and emergency practices are corporate-owned (distinct from ~25% of GP clinics and ~50% of industry revenue in row 15). Supports excluding specialty/ER from the GP perimeter.</t>
  </si>
  <si>
    <t xml:space="preserve">https://www.aaha.org/trends-magazine/publications/corporate-consolidation-and-the-rise-of-private-equity/</t>
  </si>
  <si>
    <t xml:space="preserve">Mordor Intelligence — US veterinary services market, 2025</t>
  </si>
  <si>
    <t xml:space="preserve">Companion animals = 62.68% of US veterinary services revenue (2025). Used as the SOURCED companion-animal share in the top-down cross-check, replacing an unsourced 0.78.</t>
  </si>
  <si>
    <t xml:space="preserve">https://www.mordorintelligence.com/industry-reports/veterinary-services-market</t>
  </si>
  <si>
    <t xml:space="preserve">Exhibit E5 — TAM to SAM to SOM, every step with its basis</t>
  </si>
  <si>
    <t xml:space="preserve">Yellow = hypothesis. ROUND-3: the TAM is on a PRACTICE-REVENUE basis — the same basis as the SOM, the AVMA benchmark and the target's own $120m. An earlier version anchored on household out-of-pocket, a different basis from everything it was compared with.</t>
  </si>
  <si>
    <t xml:space="preserve">TAM — companion-animal general practice, practice-revenue basis</t>
  </si>
  <si>
    <t xml:space="preserve">Step</t>
  </si>
  <si>
    <t xml:space="preserve">IBISWorld 2025 — establishment revenue</t>
  </si>
  <si>
    <t xml:space="preserve">x companion-animal share of industry revenue</t>
  </si>
  <si>
    <t xml:space="preserve">Mordor Intelligence 2025 (62.68%) — SOURCED</t>
  </si>
  <si>
    <t xml:space="preserve">x general-practice share (= 1 - specialty / ER)</t>
  </si>
  <si>
    <t xml:space="preserve">Specialty and ER: different economics, ~75% corporate-owned</t>
  </si>
  <si>
    <t xml:space="preserve">TAM — companion-animal GENERAL PRACTICE</t>
  </si>
  <si>
    <t xml:space="preserve">This is the market</t>
  </si>
  <si>
    <t xml:space="preserve">Basis check — an IDENTITY, not a test (it cannot fail; it discriminates BETWEEN methods)</t>
  </si>
  <si>
    <t xml:space="preserve">Implied companion-animal GP establishments</t>
  </si>
  <si>
    <t xml:space="preserve">Implied revenue per GP establishment ($m)</t>
  </si>
  <si>
    <t xml:space="preserve">IBISWorld-implied average across ALL vet businesses ($m)</t>
  </si>
  <si>
    <t xml:space="preserve">Difference</t>
  </si>
  <si>
    <t xml:space="preserve">This returns zero for ANY companion and GP share — the shares cancel. It carries no information about whether $33.6bn is the right LEVEL. What it does do is discriminate between constructions: the earlier household-side TAM implied $1.04m per establishment and failed it. It also assumes specialty/ER practices are the same average SIZE as GP practices; they are larger, so the true GP count is higher and true revenue per GP establishment below $1.21m.</t>
  </si>
  <si>
    <t xml:space="preserve">Cross-check on the HOUSEHOLD side — a different basis, reported not averaged</t>
  </si>
  <si>
    <t xml:space="preserve">US companion-animal vet care and product sales</t>
  </si>
  <si>
    <t xml:space="preserve">APPA 2025 — household out-of-pocket, ALL vet care incl. specialty, ER and product</t>
  </si>
  <si>
    <t xml:space="preserve">TAM (practice revenue, GP only)</t>
  </si>
  <si>
    <t xml:space="preserve">From above</t>
  </si>
  <si>
    <t xml:space="preserve">Household spend exceeds GP practice revenue by</t>
  </si>
  <si>
    <t xml:space="preserve">Expected: household spend also covers specialty, ER and product bought outside GP clinics</t>
  </si>
  <si>
    <t xml:space="preserve">The two sit on DIFFERENT BASES and are never netted. Household out-of-pocket running ~22% above GP practice revenue is the expected direction and magnitude. This is a sanity check, not a rival estimate, and it is not averaged in.</t>
  </si>
  <si>
    <t xml:space="preserve">TAM sensitivity</t>
  </si>
  <si>
    <t xml:space="preserve">Companion share</t>
  </si>
  <si>
    <t xml:space="preserve">GP share</t>
  </si>
  <si>
    <t xml:space="preserve">TAM ($bn)</t>
  </si>
  <si>
    <t xml:space="preserve">vs adopted</t>
  </si>
  <si>
    <t xml:space="preserve">About +/-12% on the two shares. The GP share carries no source and is the single highest-value research gap in this work package.</t>
  </si>
  <si>
    <t xml:space="preserve">SAM — six-state Southeast (assumed perimeter, pending clinic addresses)</t>
  </si>
  <si>
    <t xml:space="preserve">State</t>
  </si>
  <si>
    <t xml:space="preserve">Households (m)</t>
  </si>
  <si>
    <t xml:space="preserve">Pet-owning %</t>
  </si>
  <si>
    <t xml:space="preserve">Pet households (m)</t>
  </si>
  <si>
    <t xml:space="preserve">Florida</t>
  </si>
  <si>
    <t xml:space="preserve">Census-derived households; survey-based rate. Hardcoded here, not on Assumptions.</t>
  </si>
  <si>
    <t xml:space="preserve">North Carolina</t>
  </si>
  <si>
    <t xml:space="preserve">Georgia</t>
  </si>
  <si>
    <t xml:space="preserve">Tennessee</t>
  </si>
  <si>
    <t xml:space="preserve">South Carolina</t>
  </si>
  <si>
    <t xml:space="preserve">Alabama</t>
  </si>
  <si>
    <t xml:space="preserve">Six-state total</t>
  </si>
  <si>
    <t xml:space="preserve">US pet-owning households (AVMA)</t>
  </si>
  <si>
    <t xml:space="preserve">Southeast share of US pet households</t>
  </si>
  <si>
    <t xml:space="preserve">SAM step</t>
  </si>
  <si>
    <t xml:space="preserve">TAM</t>
  </si>
  <si>
    <t xml:space="preserve">x Southeast share of US pet households</t>
  </si>
  <si>
    <t xml:space="preserve">Frame inconsistency — see the check below</t>
  </si>
  <si>
    <t xml:space="preserve">x spend per pet household, Southeast vs US</t>
  </si>
  <si>
    <t xml:space="preserve">SAM</t>
  </si>
  <si>
    <t xml:space="preserve">SOM — served catchments (bottom-up, independent of the TAM)</t>
  </si>
  <si>
    <t xml:space="preserve">SOM step</t>
  </si>
  <si>
    <t xml:space="preserve">Low</t>
  </si>
  <si>
    <t xml:space="preserve">High</t>
  </si>
  <si>
    <t xml:space="preserve">Competing GP clinics per catchment</t>
  </si>
  <si>
    <t xml:space="preserve">Clinics in served catchments</t>
  </si>
  <si>
    <t xml:space="preserve">Average GP practice gross revenue ($m) — perimeter NOT established</t>
  </si>
  <si>
    <t xml:space="preserve">SOM — base case ($bn)</t>
  </si>
  <si>
    <t xml:space="preserve">Variant 1 — the platform's own 42 at its implied revenue</t>
  </si>
  <si>
    <t xml:space="preserve">Internally consistent with the revenue-per-clinic gap finding</t>
  </si>
  <si>
    <t xml:space="preserve">Variant 2 — all clinics at the IBISWorld-implied average</t>
  </si>
  <si>
    <t xml:space="preserve">Implied target share of its own catchments</t>
  </si>
  <si>
    <t xml:space="preserve">SOM as a share of SAM</t>
  </si>
  <si>
    <t xml:space="preserve">Reconciliation flag — two Verified inputs that contradict each other</t>
  </si>
  <si>
    <t xml:space="preserve">IBISWorld businesses, NAICS 54194</t>
  </si>
  <si>
    <t xml:space="preserve">x AVMA average practice revenue ($m)</t>
  </si>
  <si>
    <t xml:space="preserve">Implied industry revenue ($bn)</t>
  </si>
  <si>
    <t xml:space="preserve">IBISWorld industry revenue ($bn)</t>
  </si>
  <si>
    <t xml:space="preserve">Gap ($bn)</t>
  </si>
  <si>
    <t xml:space="preserve">IBISWorld-implied average practice ($m)</t>
  </si>
  <si>
    <t xml:space="preserve">Likely explanation: IBISWorld counts sole practitioners, mobile and relief practices that the AVMA benchmark excludes. HYPOTHESIS, not a verified reconciliation. The revenue-per-clinic gap is therefore a RANGE: 1.8x against the aged AVMA benchmark, 2.4x against the IBISWorld-implied average.</t>
  </si>
  <si>
    <t xml:space="preserve">Frame check — the two AVMA household figures are not consistent on the Census base</t>
  </si>
  <si>
    <t xml:space="preserve">US total households (Census-derived), m</t>
  </si>
  <si>
    <t xml:space="preserve">AVMA stated pet-owning penetration</t>
  </si>
  <si>
    <t xml:space="preserve">Implied pet households at that rate, m</t>
  </si>
  <si>
    <t xml:space="preserve">AVMA stated pet-owning households, m</t>
  </si>
  <si>
    <t xml:space="preserve">Penetration IMPLIED by AVMA's own household count</t>
  </si>
  <si>
    <t xml:space="preserve">Southeast share on a CONSISTENT frame (vs 75.7m)</t>
  </si>
  <si>
    <t xml:space="preserve">SAM on that consistent frame ($bn)</t>
  </si>
  <si>
    <t xml:space="preserve">Effect on the SAM</t>
  </si>
  <si>
    <t xml:space="preserve">58.6% of the Census base gives 75.7m, not 77.5m. The Southeast share uses AVMA's 77.5m denominator against a numerator built from state survey rates averaging 55.8% — two survey frames in one ratio. The consistent-frame SAM is shown so the CONSEQUENCE is visible, not just the inconsistency.</t>
  </si>
</sst>
</file>

<file path=xl/styles.xml><?xml version="1.0" encoding="utf-8"?>
<styleSheet xmlns="http://schemas.openxmlformats.org/spreadsheetml/2006/main">
  <numFmts count="12">
    <numFmt numFmtId="164" formatCode="General"/>
    <numFmt numFmtId="165" formatCode="#,##0.0;\(#,##0.0\);\-"/>
    <numFmt numFmtId="166" formatCode="#,##0.00;\(#,##0.00\);\-"/>
    <numFmt numFmtId="167" formatCode="0.0%"/>
    <numFmt numFmtId="168" formatCode="#,##0"/>
    <numFmt numFmtId="169" formatCode="\$#,##0.0;&quot;($&quot;#,##0.0\);\-"/>
    <numFmt numFmtId="170" formatCode="#,##0.0"/>
    <numFmt numFmtId="171" formatCode="\+0;\-0;0"/>
    <numFmt numFmtId="172" formatCode="0.0\x"/>
    <numFmt numFmtId="173" formatCode="@"/>
    <numFmt numFmtId="174" formatCode="\$#,##0.00"/>
    <numFmt numFmtId="175" formatCode="#,##0.00"/>
  </numFmts>
  <fonts count="18">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b val="true"/>
      <sz val="10"/>
      <name val="Arial"/>
      <family val="0"/>
      <charset val="1"/>
    </font>
    <font>
      <i val="true"/>
      <sz val="8"/>
      <color rgb="FF595959"/>
      <name val="Arial"/>
      <family val="0"/>
      <charset val="1"/>
    </font>
    <font>
      <b val="true"/>
      <sz val="11"/>
      <color rgb="FF1F3864"/>
      <name val="Arial"/>
      <family val="0"/>
      <charset val="1"/>
    </font>
    <font>
      <sz val="10"/>
      <color rgb="FF0000FF"/>
      <name val="Arial"/>
      <family val="0"/>
      <charset val="1"/>
    </font>
    <font>
      <sz val="10"/>
      <name val="Arial"/>
      <family val="0"/>
      <charset val="1"/>
    </font>
    <font>
      <sz val="10"/>
      <color rgb="FF008000"/>
      <name val="Arial"/>
      <family val="0"/>
      <charset val="1"/>
    </font>
    <font>
      <b val="true"/>
      <sz val="10"/>
      <color rgb="FFC00000"/>
      <name val="Arial"/>
      <family val="0"/>
      <charset val="1"/>
    </font>
    <font>
      <b val="true"/>
      <sz val="10"/>
      <color rgb="FFFFFFFF"/>
      <name val="Arial"/>
      <family val="0"/>
      <charset val="1"/>
    </font>
    <font>
      <sz val="10"/>
      <color rgb="FF000000"/>
      <name val="Arial"/>
      <family val="0"/>
      <charset val="1"/>
    </font>
    <font>
      <i val="true"/>
      <sz val="10"/>
      <color rgb="FFC00000"/>
      <name val="Arial"/>
      <family val="0"/>
      <charset val="1"/>
    </font>
    <font>
      <b val="true"/>
      <sz val="10"/>
      <color rgb="FF008000"/>
      <name val="Arial"/>
      <family val="0"/>
      <charset val="1"/>
    </font>
    <font>
      <b val="true"/>
      <sz val="10"/>
      <color rgb="FF000000"/>
      <name val="Arial"/>
      <family val="0"/>
      <charset val="1"/>
    </font>
    <font>
      <sz val="8"/>
      <color rgb="FF0563C1"/>
      <name val="Arial"/>
      <family val="0"/>
      <charset val="1"/>
    </font>
  </fonts>
  <fills count="4">
    <fill>
      <patternFill patternType="none"/>
    </fill>
    <fill>
      <patternFill patternType="gray125"/>
    </fill>
    <fill>
      <patternFill patternType="solid">
        <fgColor rgb="FFFFFF00"/>
        <bgColor rgb="FFFFFF00"/>
      </patternFill>
    </fill>
    <fill>
      <patternFill patternType="solid">
        <fgColor rgb="FF1F3864"/>
        <bgColor rgb="FF33333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9" fillId="2"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bottom" textRotation="0" wrapText="false" indent="0" shrinkToFit="false"/>
      <protection locked="true" hidden="false"/>
    </xf>
    <xf numFmtId="165" fontId="8" fillId="0"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general" vertical="bottom" textRotation="0" wrapText="false" indent="0" shrinkToFit="false"/>
      <protection locked="true" hidden="false"/>
    </xf>
    <xf numFmtId="167" fontId="8" fillId="0" borderId="1" xfId="0" applyFont="true" applyBorder="true" applyAlignment="true" applyProtection="false">
      <alignment horizontal="general" vertical="bottom" textRotation="0" wrapText="false" indent="0" shrinkToFit="false"/>
      <protection locked="true" hidden="false"/>
    </xf>
    <xf numFmtId="167" fontId="8" fillId="2" borderId="1" xfId="0" applyFont="true" applyBorder="true" applyAlignment="tru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general" vertical="bottom" textRotation="0" wrapText="false" indent="0" shrinkToFit="false"/>
      <protection locked="true" hidden="false"/>
    </xf>
    <xf numFmtId="165" fontId="8" fillId="2" borderId="1" xfId="0" applyFont="true" applyBorder="true" applyAlignment="true" applyProtection="false">
      <alignment horizontal="general" vertical="bottom" textRotation="0" wrapText="false" indent="0" shrinkToFit="false"/>
      <protection locked="true" hidden="false"/>
    </xf>
    <xf numFmtId="168" fontId="8" fillId="0" borderId="0" xfId="0" applyFont="true" applyBorder="false" applyAlignment="true" applyProtection="false">
      <alignment horizontal="general" vertical="bottom" textRotation="0" wrapText="false" indent="0" shrinkToFit="false"/>
      <protection locked="true" hidden="false"/>
    </xf>
    <xf numFmtId="167" fontId="8" fillId="0" borderId="0" xfId="0" applyFont="true" applyBorder="false" applyAlignment="true" applyProtection="false">
      <alignment horizontal="general" vertical="bottom" textRotation="0" wrapText="false" indent="0" shrinkToFit="false"/>
      <protection locked="true" hidden="false"/>
    </xf>
    <xf numFmtId="167" fontId="8" fillId="2" borderId="0" xfId="0" applyFont="true" applyBorder="false" applyAlignment="true" applyProtection="false">
      <alignment horizontal="general" vertical="bottom" textRotation="0" wrapText="false" indent="0" shrinkToFit="false"/>
      <protection locked="true" hidden="false"/>
    </xf>
    <xf numFmtId="169" fontId="10" fillId="0" borderId="1" xfId="0" applyFont="true" applyBorder="true" applyAlignment="true" applyProtection="false">
      <alignment horizontal="general" vertical="bottom" textRotation="0" wrapText="false" indent="0" shrinkToFit="false"/>
      <protection locked="true" hidden="false"/>
    </xf>
    <xf numFmtId="170" fontId="9" fillId="0" borderId="1" xfId="0" applyFont="true" applyBorder="true" applyAlignment="true" applyProtection="false">
      <alignment horizontal="general" vertical="bottom" textRotation="0" wrapText="false" indent="0" shrinkToFit="false"/>
      <protection locked="true" hidden="false"/>
    </xf>
    <xf numFmtId="166" fontId="1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9" fontId="14" fillId="0" borderId="1" xfId="0" applyFont="true" applyBorder="true" applyAlignment="true" applyProtection="false">
      <alignment horizontal="general" vertical="bottom" textRotation="0" wrapText="false" indent="0" shrinkToFit="false"/>
      <protection locked="true" hidden="false"/>
    </xf>
    <xf numFmtId="170" fontId="14" fillId="0" borderId="1" xfId="0" applyFont="true" applyBorder="true" applyAlignment="true" applyProtection="false">
      <alignment horizontal="general" vertical="bottom" textRotation="0" wrapText="false" indent="0" shrinkToFit="false"/>
      <protection locked="true" hidden="false"/>
    </xf>
    <xf numFmtId="167" fontId="9" fillId="0" borderId="1" xfId="0" applyFont="true" applyBorder="true" applyAlignment="true" applyProtection="false">
      <alignment horizontal="general" vertical="bottom" textRotation="0" wrapText="false" indent="0" shrinkToFit="false"/>
      <protection locked="true" hidden="false"/>
    </xf>
    <xf numFmtId="167" fontId="9" fillId="0" borderId="0" xfId="0" applyFont="tru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7" fontId="10" fillId="0" borderId="1" xfId="0" applyFont="true" applyBorder="true" applyAlignment="true" applyProtection="false">
      <alignment horizontal="general" vertical="bottom" textRotation="0" wrapText="false" indent="0" shrinkToFit="false"/>
      <protection locked="true" hidden="false"/>
    </xf>
    <xf numFmtId="167" fontId="9" fillId="2" borderId="1" xfId="0" applyFont="true" applyBorder="true" applyAlignment="true" applyProtection="false">
      <alignment horizontal="general" vertical="bottom" textRotation="0" wrapText="false" indent="0" shrinkToFit="false"/>
      <protection locked="true" hidden="false"/>
    </xf>
    <xf numFmtId="167" fontId="5" fillId="0" borderId="1" xfId="0" applyFont="true" applyBorder="true" applyAlignment="tru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general" vertical="bottom" textRotation="0" wrapText="false" indent="0" shrinkToFit="false"/>
      <protection locked="true" hidden="false"/>
    </xf>
    <xf numFmtId="164" fontId="15" fillId="0" borderId="1" xfId="0" applyFont="true" applyBorder="true" applyAlignment="true" applyProtection="false">
      <alignment horizontal="general" vertical="bottom" textRotation="0" wrapText="false" indent="0" shrinkToFit="false"/>
      <protection locked="true" hidden="false"/>
    </xf>
    <xf numFmtId="171" fontId="9" fillId="0" borderId="1" xfId="0" applyFont="true" applyBorder="true" applyAlignment="tru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6" fillId="0" borderId="1" xfId="0" applyFont="true" applyBorder="true" applyAlignment="true" applyProtection="false">
      <alignment horizontal="general" vertical="bottom" textRotation="0" wrapText="false" indent="0" shrinkToFit="false"/>
      <protection locked="true" hidden="false"/>
    </xf>
    <xf numFmtId="171" fontId="5" fillId="0" borderId="0" xfId="0" applyFont="true" applyBorder="false" applyAlignment="true" applyProtection="false">
      <alignment horizontal="general" vertical="bottom" textRotation="0" wrapText="false" indent="0" shrinkToFit="false"/>
      <protection locked="true" hidden="false"/>
    </xf>
    <xf numFmtId="169" fontId="10" fillId="0"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general" vertical="bottom" textRotation="0" wrapText="false" indent="0" shrinkToFit="false"/>
      <protection locked="true" hidden="false"/>
    </xf>
    <xf numFmtId="169" fontId="5" fillId="0" borderId="0" xfId="0" applyFont="true" applyBorder="false" applyAlignment="true" applyProtection="false">
      <alignment horizontal="general" vertical="bottom" textRotation="0" wrapText="false" indent="0" shrinkToFit="false"/>
      <protection locked="true" hidden="false"/>
    </xf>
    <xf numFmtId="172" fontId="11" fillId="0" borderId="0" xfId="0" applyFont="true" applyBorder="false" applyAlignment="true" applyProtection="false">
      <alignment horizontal="general" vertical="bottom" textRotation="0" wrapText="false" indent="0" shrinkToFit="false"/>
      <protection locked="true" hidden="false"/>
    </xf>
    <xf numFmtId="173" fontId="9" fillId="0" borderId="0" xfId="0" applyFont="true" applyBorder="false" applyAlignment="true" applyProtection="false">
      <alignment horizontal="general" vertical="bottom" textRotation="0" wrapText="false" indent="0" shrinkToFit="false"/>
      <protection locked="true" hidden="false"/>
    </xf>
    <xf numFmtId="174" fontId="9" fillId="0" borderId="0" xfId="0" applyFont="true" applyBorder="false" applyAlignment="true" applyProtection="false">
      <alignment horizontal="general" vertical="bottom" textRotation="0" wrapText="false" indent="0" shrinkToFit="false"/>
      <protection locked="true" hidden="false"/>
    </xf>
    <xf numFmtId="172" fontId="9" fillId="0" borderId="0" xfId="0" applyFont="true" applyBorder="false" applyAlignment="true" applyProtection="false">
      <alignment horizontal="general" vertical="bottom" textRotation="0" wrapText="false" indent="0" shrinkToFit="false"/>
      <protection locked="true" hidden="false"/>
    </xf>
    <xf numFmtId="174" fontId="0" fillId="0" borderId="0" xfId="0" applyFont="false" applyBorder="false" applyAlignment="true" applyProtection="false">
      <alignment horizontal="general" vertical="bottom" textRotation="0" wrapText="false" indent="0" shrinkToFit="false"/>
      <protection locked="true" hidden="false"/>
    </xf>
    <xf numFmtId="172" fontId="0" fillId="0" borderId="0" xfId="0" applyFont="false" applyBorder="false" applyAlignment="tru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bottom" textRotation="0" wrapText="true" indent="0" shrinkToFit="false"/>
      <protection locked="true" hidden="false"/>
    </xf>
    <xf numFmtId="167" fontId="9" fillId="2" borderId="0" xfId="0" applyFont="true" applyBorder="false" applyAlignment="true" applyProtection="false">
      <alignment horizontal="general" vertical="bottom" textRotation="0" wrapText="false" indent="0" shrinkToFit="false"/>
      <protection locked="true" hidden="false"/>
    </xf>
    <xf numFmtId="175" fontId="5" fillId="0" borderId="0" xfId="0" applyFont="true" applyBorder="false" applyAlignment="true" applyProtection="false">
      <alignment horizontal="general" vertical="bottom" textRotation="0" wrapText="false" indent="0" shrinkToFit="false"/>
      <protection locked="true" hidden="false"/>
    </xf>
    <xf numFmtId="175" fontId="10" fillId="0" borderId="0" xfId="0" applyFont="true" applyBorder="false" applyAlignment="true" applyProtection="false">
      <alignment horizontal="general" vertical="bottom" textRotation="0" wrapText="false" indent="0" shrinkToFit="false"/>
      <protection locked="true" hidden="false"/>
    </xf>
    <xf numFmtId="169" fontId="9" fillId="0" borderId="0" xfId="0" applyFont="true" applyBorder="false" applyAlignment="true" applyProtection="false">
      <alignment horizontal="general" vertical="bottom" textRotation="0" wrapText="false" indent="0" shrinkToFit="false"/>
      <protection locked="true" hidden="false"/>
    </xf>
    <xf numFmtId="167" fontId="5" fillId="0" borderId="0" xfId="0" applyFont="true" applyBorder="false" applyAlignment="true" applyProtection="false">
      <alignment horizontal="general" vertical="bottom" textRotation="0" wrapText="false" indent="0" shrinkToFit="false"/>
      <protection locked="true" hidden="false"/>
    </xf>
    <xf numFmtId="169" fontId="9" fillId="2" borderId="0" xfId="0" applyFont="true" applyBorder="false" applyAlignment="tru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75" fontId="8" fillId="0" borderId="0" xfId="0" applyFont="true" applyBorder="false" applyAlignment="true" applyProtection="false">
      <alignment horizontal="general" vertical="bottom" textRotation="0" wrapText="false" indent="0" shrinkToFit="false"/>
      <protection locked="true" hidden="false"/>
    </xf>
    <xf numFmtId="175" fontId="0" fillId="0" borderId="0" xfId="0" applyFont="false" applyBorder="false" applyAlignment="true" applyProtection="false">
      <alignment horizontal="general" vertical="bottom" textRotation="0" wrapText="false" indent="0" shrinkToFit="false"/>
      <protection locked="true" hidden="false"/>
    </xf>
    <xf numFmtId="175" fontId="10" fillId="2" borderId="0" xfId="0" applyFont="true" applyBorder="false" applyAlignment="true" applyProtection="false">
      <alignment horizontal="general" vertical="bottom" textRotation="0" wrapText="false" indent="0" shrinkToFit="false"/>
      <protection locked="true" hidden="false"/>
    </xf>
    <xf numFmtId="165" fontId="10" fillId="0" borderId="0" xfId="0" applyFont="true" applyBorder="false" applyAlignment="true" applyProtection="false">
      <alignment horizontal="general" vertical="bottom" textRotation="0" wrapText="false" indent="0" shrinkToFit="false"/>
      <protection locked="true" hidden="false"/>
    </xf>
    <xf numFmtId="165" fontId="10" fillId="2" borderId="0" xfId="0" applyFont="true" applyBorder="false" applyAlignment="true" applyProtection="false">
      <alignment horizontal="general" vertical="bottom" textRotation="0" wrapText="false" indent="0" shrinkToFit="false"/>
      <protection locked="true" hidden="false"/>
    </xf>
    <xf numFmtId="169" fontId="5" fillId="2" borderId="0" xfId="0" applyFont="true" applyBorder="false" applyAlignment="true" applyProtection="false">
      <alignment horizontal="general" vertical="bottom" textRotation="0" wrapText="false" indent="0" shrinkToFit="false"/>
      <protection locked="true" hidden="false"/>
    </xf>
    <xf numFmtId="169" fontId="0" fillId="0" borderId="0" xfId="0" applyFont="false" applyBorder="false" applyAlignment="true" applyProtection="false">
      <alignment horizontal="general" vertical="bottom" textRotation="0" wrapText="false" indent="0" shrinkToFit="false"/>
      <protection locked="true" hidden="false"/>
    </xf>
    <xf numFmtId="175" fontId="9"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2"/>
    <col collapsed="false" customWidth="true" hidden="false" outlineLevel="0" max="2" min="2" style="1" width="105"/>
  </cols>
  <sheetData>
    <row r="1" customFormat="false" ht="17.25" hidden="false" customHeight="true" outlineLevel="0" collapsed="false">
      <c r="A1" s="2" t="s">
        <v>0</v>
      </c>
    </row>
    <row r="2" customFormat="false" ht="15" hidden="false" customHeight="true" outlineLevel="0" collapsed="false">
      <c r="A2" s="3" t="s">
        <v>1</v>
      </c>
    </row>
    <row r="3" customFormat="false" ht="15" hidden="false" customHeight="true" outlineLevel="0" collapsed="false">
      <c r="A3" s="4" t="s">
        <v>2</v>
      </c>
    </row>
    <row r="5" customFormat="false" ht="15" hidden="false" customHeight="true" outlineLevel="0" collapsed="false">
      <c r="A5" s="5" t="s">
        <v>3</v>
      </c>
    </row>
    <row r="6" customFormat="false" ht="15" hidden="false" customHeight="true" outlineLevel="0" collapsed="false">
      <c r="A6" s="6" t="s">
        <v>4</v>
      </c>
      <c r="B6" s="7" t="s">
        <v>5</v>
      </c>
    </row>
    <row r="7" customFormat="false" ht="15" hidden="false" customHeight="true" outlineLevel="0" collapsed="false">
      <c r="A7" s="7" t="s">
        <v>6</v>
      </c>
      <c r="B7" s="7" t="s">
        <v>7</v>
      </c>
    </row>
    <row r="8" customFormat="false" ht="15" hidden="false" customHeight="true" outlineLevel="0" collapsed="false">
      <c r="A8" s="8" t="s">
        <v>8</v>
      </c>
      <c r="B8" s="7" t="s">
        <v>9</v>
      </c>
    </row>
    <row r="9" customFormat="false" ht="15" hidden="false" customHeight="true" outlineLevel="0" collapsed="false">
      <c r="A9" s="9" t="s">
        <v>10</v>
      </c>
      <c r="B9" s="7" t="s">
        <v>11</v>
      </c>
    </row>
    <row r="11" customFormat="false" ht="15" hidden="false" customHeight="true" outlineLevel="0" collapsed="false">
      <c r="A11" s="5" t="s">
        <v>12</v>
      </c>
    </row>
    <row r="12" customFormat="false" ht="15" hidden="false" customHeight="true" outlineLevel="0" collapsed="false">
      <c r="A12" s="3" t="s">
        <v>13</v>
      </c>
      <c r="B12" s="7" t="s">
        <v>14</v>
      </c>
    </row>
    <row r="13" customFormat="false" ht="15" hidden="false" customHeight="true" outlineLevel="0" collapsed="false">
      <c r="A13" s="3" t="s">
        <v>15</v>
      </c>
      <c r="B13" s="7" t="s">
        <v>16</v>
      </c>
    </row>
    <row r="14" customFormat="false" ht="15" hidden="false" customHeight="true" outlineLevel="0" collapsed="false">
      <c r="A14" s="3" t="s">
        <v>17</v>
      </c>
      <c r="B14" s="7" t="s">
        <v>18</v>
      </c>
    </row>
    <row r="15" customFormat="false" ht="15" hidden="false" customHeight="true" outlineLevel="0" collapsed="false">
      <c r="A15" s="3" t="s">
        <v>19</v>
      </c>
      <c r="B15" s="7" t="s">
        <v>20</v>
      </c>
    </row>
    <row r="16" customFormat="false" ht="15" hidden="false" customHeight="true" outlineLevel="0" collapsed="false">
      <c r="A16" s="3" t="s">
        <v>21</v>
      </c>
      <c r="B16" s="7" t="s">
        <v>22</v>
      </c>
    </row>
    <row r="17" customFormat="false" ht="15" hidden="false" customHeight="true" outlineLevel="0" collapsed="false">
      <c r="A17" s="3" t="s">
        <v>23</v>
      </c>
      <c r="B17" s="7" t="s">
        <v>24</v>
      </c>
    </row>
    <row r="18" customFormat="false" ht="15" hidden="false" customHeight="true" outlineLevel="0" collapsed="false">
      <c r="A18" s="3" t="s">
        <v>25</v>
      </c>
      <c r="B18" s="7" t="s">
        <v>26</v>
      </c>
    </row>
    <row r="20" customFormat="false" ht="15" hidden="false" customHeight="true" outlineLevel="0" collapsed="false">
      <c r="A20" s="5" t="s">
        <v>27</v>
      </c>
    </row>
    <row r="21" customFormat="false" ht="15" hidden="false" customHeight="true" outlineLevel="0" collapsed="false">
      <c r="A21" s="3" t="s">
        <v>28</v>
      </c>
      <c r="B21" s="7" t="s">
        <v>29</v>
      </c>
    </row>
    <row r="22" customFormat="false" ht="15" hidden="false" customHeight="true" outlineLevel="0" collapsed="false">
      <c r="A22" s="3" t="s">
        <v>30</v>
      </c>
      <c r="B22" s="7" t="s">
        <v>31</v>
      </c>
    </row>
    <row r="23" customFormat="false" ht="15" hidden="false" customHeight="true" outlineLevel="0" collapsed="false">
      <c r="A23" s="3" t="s">
        <v>32</v>
      </c>
      <c r="B23" s="7" t="s">
        <v>33</v>
      </c>
    </row>
    <row r="25" customFormat="false" ht="15" hidden="false" customHeight="true" outlineLevel="0" collapsed="false">
      <c r="A25" s="10" t="s">
        <v>34</v>
      </c>
    </row>
    <row r="27" customFormat="false" ht="15" hidden="false" customHeight="true" outlineLevel="0" collapsed="false">
      <c r="A27" s="4" t="s">
        <v>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8"/>
    <col collapsed="false" customWidth="true" hidden="false" outlineLevel="0" max="2" min="2" style="1" width="46"/>
    <col collapsed="false" customWidth="true" hidden="false" outlineLevel="0" max="3" min="3" style="1" width="12"/>
    <col collapsed="false" customWidth="true" hidden="false" outlineLevel="0" max="4" min="4" style="1" width="30"/>
    <col collapsed="false" customWidth="true" hidden="false" outlineLevel="0" max="5" min="5" style="1" width="12"/>
    <col collapsed="false" customWidth="true" hidden="false" outlineLevel="0" max="6" min="6" style="1" width="13"/>
    <col collapsed="false" customWidth="true" hidden="false" outlineLevel="0" max="7" min="7" style="1" width="40"/>
  </cols>
  <sheetData>
    <row r="1" customFormat="false" ht="17.25" hidden="false" customHeight="true" outlineLevel="0" collapsed="false">
      <c r="A1" s="2" t="s">
        <v>36</v>
      </c>
    </row>
    <row r="2" customFormat="false" ht="15" hidden="false" customHeight="true" outlineLevel="0" collapsed="false">
      <c r="A2" s="4" t="s">
        <v>37</v>
      </c>
    </row>
    <row r="4" customFormat="false" ht="15" hidden="false" customHeight="true" outlineLevel="0" collapsed="false">
      <c r="A4" s="11" t="s">
        <v>38</v>
      </c>
      <c r="B4" s="11" t="s">
        <v>39</v>
      </c>
      <c r="C4" s="11" t="s">
        <v>40</v>
      </c>
      <c r="D4" s="11" t="s">
        <v>41</v>
      </c>
      <c r="E4" s="11" t="s">
        <v>42</v>
      </c>
      <c r="F4" s="11" t="s">
        <v>43</v>
      </c>
      <c r="G4" s="11" t="s">
        <v>44</v>
      </c>
    </row>
    <row r="5" customFormat="false" ht="15" hidden="false" customHeight="true" outlineLevel="0" collapsed="false">
      <c r="A5" s="12" t="s">
        <v>45</v>
      </c>
      <c r="B5" s="13" t="s">
        <v>46</v>
      </c>
      <c r="C5" s="14" t="n">
        <v>29.3</v>
      </c>
      <c r="D5" s="13" t="s">
        <v>47</v>
      </c>
      <c r="E5" s="13" t="s">
        <v>48</v>
      </c>
      <c r="F5" s="15" t="s">
        <v>28</v>
      </c>
      <c r="G5" s="13" t="s">
        <v>49</v>
      </c>
    </row>
    <row r="6" customFormat="false" ht="15" hidden="false" customHeight="true" outlineLevel="0" collapsed="false">
      <c r="A6" s="12" t="s">
        <v>50</v>
      </c>
      <c r="B6" s="13" t="s">
        <v>51</v>
      </c>
      <c r="C6" s="14" t="n">
        <v>34.3</v>
      </c>
      <c r="D6" s="13" t="s">
        <v>47</v>
      </c>
      <c r="E6" s="13" t="s">
        <v>52</v>
      </c>
      <c r="F6" s="15" t="s">
        <v>28</v>
      </c>
      <c r="G6" s="13" t="s">
        <v>49</v>
      </c>
    </row>
    <row r="7" customFormat="false" ht="15" hidden="false" customHeight="true" outlineLevel="0" collapsed="false">
      <c r="A7" s="12" t="s">
        <v>53</v>
      </c>
      <c r="B7" s="13" t="s">
        <v>54</v>
      </c>
      <c r="C7" s="14" t="n">
        <v>35.9</v>
      </c>
      <c r="D7" s="13" t="s">
        <v>47</v>
      </c>
      <c r="E7" s="13" t="s">
        <v>55</v>
      </c>
      <c r="F7" s="15" t="s">
        <v>28</v>
      </c>
      <c r="G7" s="13" t="s">
        <v>49</v>
      </c>
    </row>
    <row r="8" customFormat="false" ht="15" hidden="false" customHeight="true" outlineLevel="0" collapsed="false">
      <c r="A8" s="12" t="s">
        <v>56</v>
      </c>
      <c r="B8" s="13" t="s">
        <v>57</v>
      </c>
      <c r="C8" s="14" t="n">
        <v>38.3</v>
      </c>
      <c r="D8" s="13" t="s">
        <v>47</v>
      </c>
      <c r="E8" s="13" t="s">
        <v>58</v>
      </c>
      <c r="F8" s="15" t="s">
        <v>30</v>
      </c>
      <c r="G8" s="13" t="s">
        <v>59</v>
      </c>
    </row>
    <row r="9" customFormat="false" ht="15" hidden="false" customHeight="true" outlineLevel="0" collapsed="false">
      <c r="A9" s="12" t="s">
        <v>60</v>
      </c>
      <c r="B9" s="13" t="s">
        <v>61</v>
      </c>
      <c r="C9" s="14" t="n">
        <v>39.8</v>
      </c>
      <c r="D9" s="13" t="s">
        <v>47</v>
      </c>
      <c r="E9" s="13" t="s">
        <v>62</v>
      </c>
      <c r="F9" s="15" t="s">
        <v>28</v>
      </c>
      <c r="G9" s="13" t="s">
        <v>49</v>
      </c>
    </row>
    <row r="10" customFormat="false" ht="15" hidden="false" customHeight="true" outlineLevel="0" collapsed="false">
      <c r="A10" s="12" t="s">
        <v>63</v>
      </c>
      <c r="B10" s="13" t="s">
        <v>64</v>
      </c>
      <c r="C10" s="14" t="n">
        <v>41</v>
      </c>
      <c r="D10" s="13" t="s">
        <v>47</v>
      </c>
      <c r="E10" s="13" t="s">
        <v>65</v>
      </c>
      <c r="F10" s="15" t="s">
        <v>28</v>
      </c>
      <c r="G10" s="13" t="s">
        <v>49</v>
      </c>
    </row>
    <row r="11" customFormat="false" ht="15" hidden="false" customHeight="true" outlineLevel="0" collapsed="false">
      <c r="A11" s="12" t="s">
        <v>66</v>
      </c>
      <c r="B11" s="13" t="s">
        <v>67</v>
      </c>
      <c r="C11" s="16" t="n">
        <v>267.213</v>
      </c>
      <c r="D11" s="13" t="s">
        <v>68</v>
      </c>
      <c r="E11" s="13" t="s">
        <v>48</v>
      </c>
      <c r="F11" s="15" t="s">
        <v>28</v>
      </c>
      <c r="G11" s="13" t="s">
        <v>69</v>
      </c>
    </row>
    <row r="12" customFormat="false" ht="15" hidden="false" customHeight="true" outlineLevel="0" collapsed="false">
      <c r="A12" s="12" t="s">
        <v>70</v>
      </c>
      <c r="B12" s="13" t="s">
        <v>71</v>
      </c>
      <c r="C12" s="16" t="n">
        <v>277.093</v>
      </c>
      <c r="D12" s="13" t="s">
        <v>68</v>
      </c>
      <c r="E12" s="13" t="s">
        <v>72</v>
      </c>
      <c r="F12" s="15" t="s">
        <v>28</v>
      </c>
      <c r="G12" s="13" t="s">
        <v>69</v>
      </c>
    </row>
    <row r="13" customFormat="false" ht="15" hidden="false" customHeight="true" outlineLevel="0" collapsed="false">
      <c r="A13" s="12" t="s">
        <v>73</v>
      </c>
      <c r="B13" s="13" t="s">
        <v>74</v>
      </c>
      <c r="C13" s="16" t="n">
        <v>288.769</v>
      </c>
      <c r="D13" s="13" t="s">
        <v>68</v>
      </c>
      <c r="E13" s="13" t="s">
        <v>52</v>
      </c>
      <c r="F13" s="15" t="s">
        <v>28</v>
      </c>
      <c r="G13" s="13" t="s">
        <v>69</v>
      </c>
    </row>
    <row r="14" customFormat="false" ht="15" hidden="false" customHeight="true" outlineLevel="0" collapsed="false">
      <c r="A14" s="12" t="s">
        <v>75</v>
      </c>
      <c r="B14" s="13" t="s">
        <v>76</v>
      </c>
      <c r="C14" s="16" t="n">
        <v>314.272</v>
      </c>
      <c r="D14" s="13" t="s">
        <v>68</v>
      </c>
      <c r="E14" s="13" t="s">
        <v>55</v>
      </c>
      <c r="F14" s="15" t="s">
        <v>28</v>
      </c>
      <c r="G14" s="13" t="s">
        <v>69</v>
      </c>
    </row>
    <row r="15" customFormat="false" ht="15" hidden="false" customHeight="true" outlineLevel="0" collapsed="false">
      <c r="A15" s="12" t="s">
        <v>77</v>
      </c>
      <c r="B15" s="13" t="s">
        <v>78</v>
      </c>
      <c r="C15" s="16" t="n">
        <v>343.929</v>
      </c>
      <c r="D15" s="13" t="s">
        <v>68</v>
      </c>
      <c r="E15" s="13" t="s">
        <v>58</v>
      </c>
      <c r="F15" s="15" t="s">
        <v>28</v>
      </c>
      <c r="G15" s="13" t="s">
        <v>69</v>
      </c>
    </row>
    <row r="16" customFormat="false" ht="15" hidden="false" customHeight="true" outlineLevel="0" collapsed="false">
      <c r="A16" s="12" t="s">
        <v>79</v>
      </c>
      <c r="B16" s="13" t="s">
        <v>80</v>
      </c>
      <c r="C16" s="16" t="n">
        <v>369.383</v>
      </c>
      <c r="D16" s="13" t="s">
        <v>68</v>
      </c>
      <c r="E16" s="13" t="s">
        <v>62</v>
      </c>
      <c r="F16" s="15" t="s">
        <v>28</v>
      </c>
      <c r="G16" s="13" t="s">
        <v>69</v>
      </c>
    </row>
    <row r="17" customFormat="false" ht="15" hidden="false" customHeight="true" outlineLevel="0" collapsed="false">
      <c r="A17" s="12" t="s">
        <v>81</v>
      </c>
      <c r="B17" s="13" t="s">
        <v>82</v>
      </c>
      <c r="C17" s="16" t="n">
        <v>393.244</v>
      </c>
      <c r="D17" s="13" t="s">
        <v>68</v>
      </c>
      <c r="E17" s="13" t="s">
        <v>65</v>
      </c>
      <c r="F17" s="15" t="s">
        <v>28</v>
      </c>
      <c r="G17" s="13" t="s">
        <v>69</v>
      </c>
    </row>
    <row r="18" customFormat="false" ht="15" hidden="false" customHeight="true" outlineLevel="0" collapsed="false">
      <c r="A18" s="12" t="s">
        <v>83</v>
      </c>
      <c r="B18" s="13" t="s">
        <v>84</v>
      </c>
      <c r="C18" s="17" t="n">
        <v>-0.014</v>
      </c>
      <c r="D18" s="13" t="s">
        <v>85</v>
      </c>
      <c r="E18" s="13" t="s">
        <v>58</v>
      </c>
      <c r="F18" s="15" t="s">
        <v>28</v>
      </c>
      <c r="G18" s="13" t="s">
        <v>86</v>
      </c>
    </row>
    <row r="19" customFormat="false" ht="15" hidden="false" customHeight="true" outlineLevel="0" collapsed="false">
      <c r="A19" s="12" t="s">
        <v>87</v>
      </c>
      <c r="B19" s="13" t="s">
        <v>88</v>
      </c>
      <c r="C19" s="17" t="n">
        <v>-0.026</v>
      </c>
      <c r="D19" s="13" t="s">
        <v>85</v>
      </c>
      <c r="E19" s="13" t="s">
        <v>62</v>
      </c>
      <c r="F19" s="15" t="s">
        <v>28</v>
      </c>
      <c r="G19" s="13" t="s">
        <v>86</v>
      </c>
    </row>
    <row r="20" customFormat="false" ht="15" hidden="false" customHeight="true" outlineLevel="0" collapsed="false">
      <c r="A20" s="12" t="s">
        <v>89</v>
      </c>
      <c r="B20" s="13" t="s">
        <v>90</v>
      </c>
      <c r="C20" s="17" t="n">
        <v>-0.031</v>
      </c>
      <c r="D20" s="13" t="s">
        <v>85</v>
      </c>
      <c r="E20" s="13" t="s">
        <v>65</v>
      </c>
      <c r="F20" s="15" t="s">
        <v>28</v>
      </c>
      <c r="G20" s="13" t="s">
        <v>86</v>
      </c>
    </row>
    <row r="21" customFormat="false" ht="15" hidden="false" customHeight="true" outlineLevel="0" collapsed="false">
      <c r="A21" s="12" t="s">
        <v>91</v>
      </c>
      <c r="B21" s="13" t="s">
        <v>92</v>
      </c>
      <c r="C21" s="17" t="n">
        <v>-0.019</v>
      </c>
      <c r="D21" s="13" t="s">
        <v>85</v>
      </c>
      <c r="E21" s="13" t="s">
        <v>65</v>
      </c>
      <c r="F21" s="15" t="s">
        <v>28</v>
      </c>
      <c r="G21" s="13" t="s">
        <v>93</v>
      </c>
    </row>
    <row r="22" customFormat="false" ht="15" hidden="false" customHeight="true" outlineLevel="0" collapsed="false">
      <c r="A22" s="12" t="s">
        <v>94</v>
      </c>
      <c r="B22" s="13" t="s">
        <v>95</v>
      </c>
      <c r="C22" s="17" t="n">
        <v>0.025</v>
      </c>
      <c r="D22" s="13" t="s">
        <v>85</v>
      </c>
      <c r="E22" s="13" t="s">
        <v>65</v>
      </c>
      <c r="F22" s="15" t="s">
        <v>28</v>
      </c>
      <c r="G22" s="13" t="s">
        <v>96</v>
      </c>
    </row>
    <row r="23" customFormat="false" ht="15" hidden="false" customHeight="true" outlineLevel="0" collapsed="false">
      <c r="A23" s="12" t="s">
        <v>97</v>
      </c>
      <c r="B23" s="13" t="s">
        <v>98</v>
      </c>
      <c r="C23" s="17" t="n">
        <v>-0.038</v>
      </c>
      <c r="D23" s="13" t="s">
        <v>85</v>
      </c>
      <c r="E23" s="13" t="s">
        <v>65</v>
      </c>
      <c r="F23" s="15" t="s">
        <v>28</v>
      </c>
      <c r="G23" s="13" t="s">
        <v>96</v>
      </c>
    </row>
    <row r="24" customFormat="false" ht="15" hidden="false" customHeight="true" outlineLevel="0" collapsed="false">
      <c r="A24" s="12" t="s">
        <v>99</v>
      </c>
      <c r="B24" s="13" t="s">
        <v>100</v>
      </c>
      <c r="C24" s="17" t="n">
        <v>-0.062</v>
      </c>
      <c r="D24" s="13" t="s">
        <v>85</v>
      </c>
      <c r="E24" s="13" t="s">
        <v>65</v>
      </c>
      <c r="F24" s="15" t="s">
        <v>28</v>
      </c>
      <c r="G24" s="13" t="s">
        <v>96</v>
      </c>
    </row>
    <row r="25" customFormat="false" ht="15" hidden="false" customHeight="true" outlineLevel="0" collapsed="false">
      <c r="A25" s="12" t="s">
        <v>101</v>
      </c>
      <c r="B25" s="13" t="s">
        <v>102</v>
      </c>
      <c r="C25" s="14" t="n">
        <v>68.7</v>
      </c>
      <c r="D25" s="13" t="s">
        <v>103</v>
      </c>
      <c r="E25" s="13" t="s">
        <v>65</v>
      </c>
      <c r="F25" s="15" t="s">
        <v>28</v>
      </c>
      <c r="G25" s="13" t="s">
        <v>104</v>
      </c>
    </row>
    <row r="26" customFormat="false" ht="15" hidden="false" customHeight="true" outlineLevel="0" collapsed="false">
      <c r="A26" s="12"/>
      <c r="B26" s="13" t="s">
        <v>105</v>
      </c>
      <c r="C26" s="18"/>
      <c r="D26" s="13"/>
      <c r="E26" s="13"/>
      <c r="F26" s="19"/>
      <c r="G26" s="13"/>
    </row>
    <row r="27" customFormat="false" ht="15" hidden="false" customHeight="true" outlineLevel="0" collapsed="false">
      <c r="A27" s="12"/>
      <c r="B27" s="13"/>
      <c r="C27" s="18"/>
      <c r="D27" s="13"/>
      <c r="E27" s="13"/>
      <c r="F27" s="19"/>
      <c r="G27" s="13"/>
    </row>
    <row r="28" customFormat="false" ht="15" hidden="false" customHeight="true" outlineLevel="0" collapsed="false">
      <c r="A28" s="12" t="s">
        <v>106</v>
      </c>
      <c r="B28" s="13" t="s">
        <v>107</v>
      </c>
      <c r="C28" s="14" t="n">
        <v>41</v>
      </c>
      <c r="D28" s="13" t="s">
        <v>108</v>
      </c>
      <c r="E28" s="13" t="s">
        <v>65</v>
      </c>
      <c r="F28" s="15" t="s">
        <v>28</v>
      </c>
      <c r="G28" s="13" t="s">
        <v>49</v>
      </c>
    </row>
    <row r="29" customFormat="false" ht="15" hidden="false" customHeight="true" outlineLevel="0" collapsed="false">
      <c r="A29" s="12" t="s">
        <v>109</v>
      </c>
      <c r="B29" s="13" t="s">
        <v>110</v>
      </c>
      <c r="C29" s="20" t="n">
        <v>0.9</v>
      </c>
      <c r="D29" s="13" t="s">
        <v>111</v>
      </c>
      <c r="E29" s="13" t="s">
        <v>65</v>
      </c>
      <c r="F29" s="19" t="s">
        <v>112</v>
      </c>
      <c r="G29" s="13" t="s">
        <v>113</v>
      </c>
    </row>
    <row r="30" customFormat="false" ht="15" hidden="false" customHeight="true" outlineLevel="0" collapsed="false">
      <c r="A30" s="12" t="s">
        <v>114</v>
      </c>
      <c r="B30" s="13" t="s">
        <v>115</v>
      </c>
      <c r="C30" s="20" t="n">
        <v>8</v>
      </c>
      <c r="D30" s="13" t="s">
        <v>116</v>
      </c>
      <c r="E30" s="13" t="s">
        <v>65</v>
      </c>
      <c r="F30" s="19" t="s">
        <v>112</v>
      </c>
      <c r="G30" s="13" t="s">
        <v>117</v>
      </c>
    </row>
    <row r="31" customFormat="false" ht="15" hidden="false" customHeight="true" outlineLevel="0" collapsed="false">
      <c r="A31" s="12" t="s">
        <v>118</v>
      </c>
      <c r="B31" s="13" t="s">
        <v>119</v>
      </c>
      <c r="C31" s="20" t="n">
        <v>15</v>
      </c>
      <c r="D31" s="13" t="s">
        <v>116</v>
      </c>
      <c r="E31" s="13" t="s">
        <v>65</v>
      </c>
      <c r="F31" s="19" t="s">
        <v>112</v>
      </c>
      <c r="G31" s="13" t="s">
        <v>117</v>
      </c>
    </row>
    <row r="32" customFormat="false" ht="15" hidden="false" customHeight="true" outlineLevel="0" collapsed="false">
      <c r="A32" s="12" t="s">
        <v>120</v>
      </c>
      <c r="B32" s="13" t="s">
        <v>121</v>
      </c>
      <c r="C32" s="14" t="n">
        <v>1.5</v>
      </c>
      <c r="D32" s="13" t="s">
        <v>122</v>
      </c>
      <c r="E32" s="13" t="s">
        <v>62</v>
      </c>
      <c r="F32" s="15" t="s">
        <v>30</v>
      </c>
      <c r="G32" s="13" t="s">
        <v>123</v>
      </c>
    </row>
    <row r="33" customFormat="false" ht="15" hidden="false" customHeight="true" outlineLevel="0" collapsed="false">
      <c r="A33" s="12" t="s">
        <v>124</v>
      </c>
      <c r="B33" s="13" t="s">
        <v>125</v>
      </c>
      <c r="C33" s="14" t="n">
        <v>42</v>
      </c>
      <c r="D33" s="13" t="s">
        <v>116</v>
      </c>
      <c r="E33" s="13" t="s">
        <v>126</v>
      </c>
      <c r="F33" s="15" t="s">
        <v>28</v>
      </c>
      <c r="G33" s="13" t="s">
        <v>127</v>
      </c>
    </row>
    <row r="34" customFormat="false" ht="15" hidden="false" customHeight="true" outlineLevel="0" collapsed="false">
      <c r="A34" s="12" t="s">
        <v>128</v>
      </c>
      <c r="B34" s="13" t="s">
        <v>129</v>
      </c>
      <c r="C34" s="14" t="n">
        <v>120</v>
      </c>
      <c r="D34" s="13" t="s">
        <v>122</v>
      </c>
      <c r="E34" s="13" t="s">
        <v>126</v>
      </c>
      <c r="F34" s="15" t="s">
        <v>28</v>
      </c>
      <c r="G34" s="13" t="s">
        <v>127</v>
      </c>
    </row>
    <row r="35" customFormat="false" ht="15" hidden="false" customHeight="true" outlineLevel="0" collapsed="false">
      <c r="A35" s="12" t="s">
        <v>130</v>
      </c>
      <c r="B35" s="13" t="s">
        <v>131</v>
      </c>
      <c r="C35" s="14" t="n">
        <v>77.5</v>
      </c>
      <c r="D35" s="13" t="s">
        <v>132</v>
      </c>
      <c r="E35" s="13" t="s">
        <v>65</v>
      </c>
      <c r="F35" s="15" t="s">
        <v>28</v>
      </c>
      <c r="G35" s="13" t="s">
        <v>133</v>
      </c>
    </row>
    <row r="36" customFormat="false" ht="15" hidden="false" customHeight="true" outlineLevel="0" collapsed="false">
      <c r="A36" s="12" t="s">
        <v>134</v>
      </c>
      <c r="B36" s="13" t="s">
        <v>135</v>
      </c>
      <c r="C36" s="14" t="n">
        <v>129.227507</v>
      </c>
      <c r="D36" s="13" t="s">
        <v>132</v>
      </c>
      <c r="E36" s="13" t="s">
        <v>62</v>
      </c>
      <c r="F36" s="15" t="s">
        <v>28</v>
      </c>
      <c r="G36" s="13" t="s">
        <v>136</v>
      </c>
    </row>
    <row r="37" customFormat="false" ht="15" hidden="false" customHeight="true" outlineLevel="0" collapsed="false">
      <c r="A37" s="12" t="s">
        <v>137</v>
      </c>
      <c r="B37" s="13" t="s">
        <v>138</v>
      </c>
      <c r="C37" s="17" t="n">
        <v>0.039</v>
      </c>
      <c r="D37" s="13" t="s">
        <v>139</v>
      </c>
      <c r="E37" s="13" t="s">
        <v>140</v>
      </c>
      <c r="F37" s="15" t="s">
        <v>28</v>
      </c>
      <c r="G37" s="13" t="s">
        <v>141</v>
      </c>
    </row>
    <row r="38" customFormat="false" ht="15" hidden="false" customHeight="true" outlineLevel="0" collapsed="false">
      <c r="A38" s="12" t="s">
        <v>142</v>
      </c>
      <c r="B38" s="13" t="s">
        <v>143</v>
      </c>
      <c r="C38" s="14" t="n">
        <v>3351</v>
      </c>
      <c r="D38" s="13" t="s">
        <v>116</v>
      </c>
      <c r="E38" s="13" t="s">
        <v>62</v>
      </c>
      <c r="F38" s="15" t="s">
        <v>28</v>
      </c>
      <c r="G38" s="13" t="s">
        <v>133</v>
      </c>
    </row>
    <row r="40" customFormat="false" ht="15" hidden="false" customHeight="true" outlineLevel="0" collapsed="false">
      <c r="B40" s="4" t="s">
        <v>144</v>
      </c>
    </row>
    <row r="41" customFormat="false" ht="15" hidden="false" customHeight="true" outlineLevel="0" collapsed="false">
      <c r="A41" s="3" t="s">
        <v>145</v>
      </c>
      <c r="B41" s="7" t="s">
        <v>146</v>
      </c>
      <c r="C41" s="21" t="n">
        <v>56756</v>
      </c>
      <c r="D41" s="7" t="s">
        <v>116</v>
      </c>
      <c r="E41" s="7" t="s">
        <v>65</v>
      </c>
      <c r="F41" s="7" t="s">
        <v>28</v>
      </c>
      <c r="G41" s="7" t="s">
        <v>104</v>
      </c>
    </row>
    <row r="42" customFormat="false" ht="15" hidden="false" customHeight="true" outlineLevel="0" collapsed="false">
      <c r="A42" s="3" t="s">
        <v>147</v>
      </c>
      <c r="B42" s="7" t="s">
        <v>148</v>
      </c>
      <c r="C42" s="22" t="n">
        <v>0.025</v>
      </c>
      <c r="D42" s="7" t="s">
        <v>85</v>
      </c>
      <c r="E42" s="7" t="s">
        <v>65</v>
      </c>
      <c r="F42" s="7" t="s">
        <v>28</v>
      </c>
      <c r="G42" s="7" t="s">
        <v>149</v>
      </c>
    </row>
    <row r="44" customFormat="false" ht="15" hidden="false" customHeight="true" outlineLevel="0" collapsed="false">
      <c r="A44" s="3" t="s">
        <v>150</v>
      </c>
      <c r="B44" s="7" t="s">
        <v>151</v>
      </c>
      <c r="C44" s="22" t="n">
        <v>0.627</v>
      </c>
      <c r="D44" s="7" t="s">
        <v>152</v>
      </c>
      <c r="E44" s="7" t="s">
        <v>65</v>
      </c>
      <c r="F44" s="7" t="s">
        <v>30</v>
      </c>
      <c r="G44" s="7" t="s">
        <v>153</v>
      </c>
    </row>
    <row r="45" customFormat="false" ht="15" hidden="false" customHeight="true" outlineLevel="0" collapsed="false">
      <c r="A45" s="3"/>
      <c r="B45" s="7" t="s">
        <v>154</v>
      </c>
      <c r="C45" s="23"/>
      <c r="D45" s="7"/>
      <c r="E45" s="7"/>
      <c r="F45" s="10"/>
      <c r="G45" s="7"/>
    </row>
    <row r="46" customFormat="false" ht="15" hidden="false" customHeight="true" outlineLevel="0" collapsed="false">
      <c r="A46" s="3" t="s">
        <v>155</v>
      </c>
      <c r="B46" s="7" t="s">
        <v>156</v>
      </c>
      <c r="C46" s="23" t="n">
        <v>0.22</v>
      </c>
      <c r="D46" s="7" t="s">
        <v>157</v>
      </c>
      <c r="E46" s="7" t="s">
        <v>65</v>
      </c>
      <c r="F46" s="10" t="s">
        <v>112</v>
      </c>
      <c r="G46" s="7" t="s">
        <v>117</v>
      </c>
    </row>
    <row r="48" customFormat="false" ht="15" hidden="false" customHeight="true" outlineLevel="0" collapsed="false">
      <c r="B48" s="4" t="s">
        <v>158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0"/>
    <col collapsed="false" customWidth="true" hidden="false" outlineLevel="0" max="2" min="2" style="1" width="20"/>
    <col collapsed="false" customWidth="true" hidden="false" outlineLevel="0" max="3" min="3" style="1" width="22"/>
    <col collapsed="false" customWidth="true" hidden="false" outlineLevel="0" max="4" min="4" style="1" width="24"/>
    <col collapsed="false" customWidth="true" hidden="false" outlineLevel="0" max="6" min="5" style="1" width="22"/>
    <col collapsed="false" customWidth="true" hidden="false" outlineLevel="0" max="7" min="7" style="1" width="12"/>
  </cols>
  <sheetData>
    <row r="1" customFormat="false" ht="17.25" hidden="false" customHeight="true" outlineLevel="0" collapsed="false">
      <c r="A1" s="2" t="s">
        <v>159</v>
      </c>
    </row>
    <row r="2" customFormat="false" ht="15" hidden="false" customHeight="true" outlineLevel="0" collapsed="false">
      <c r="A2" s="4" t="s">
        <v>160</v>
      </c>
    </row>
    <row r="4" customFormat="false" ht="23.25" hidden="false" customHeight="true" outlineLevel="0" collapsed="false">
      <c r="A4" s="11" t="s">
        <v>161</v>
      </c>
      <c r="B4" s="11" t="s">
        <v>162</v>
      </c>
      <c r="C4" s="11" t="s">
        <v>163</v>
      </c>
      <c r="D4" s="11" t="s">
        <v>164</v>
      </c>
      <c r="E4" s="11" t="s">
        <v>165</v>
      </c>
      <c r="F4" s="11" t="s">
        <v>166</v>
      </c>
      <c r="G4" s="11" t="s">
        <v>167</v>
      </c>
    </row>
    <row r="5" customFormat="false" ht="15" hidden="false" customHeight="true" outlineLevel="0" collapsed="false">
      <c r="A5" s="12" t="s">
        <v>48</v>
      </c>
      <c r="B5" s="24" t="n">
        <f aca="false">Assumptions!$C$5</f>
        <v>29.3</v>
      </c>
      <c r="C5" s="25" t="n">
        <f aca="false">B5/$B$5*100</f>
        <v>100</v>
      </c>
      <c r="D5" s="26" t="n">
        <f aca="false">Assumptions!$C$11</f>
        <v>267.213</v>
      </c>
      <c r="E5" s="25" t="n">
        <f aca="false">D5/$D$5*100</f>
        <v>100</v>
      </c>
      <c r="F5" s="25" t="n">
        <f aca="false">C5/E5*100</f>
        <v>100</v>
      </c>
      <c r="G5" s="27"/>
    </row>
    <row r="6" customFormat="false" ht="15" hidden="false" customHeight="true" outlineLevel="0" collapsed="false">
      <c r="A6" s="12" t="s">
        <v>72</v>
      </c>
      <c r="B6" s="28" t="s">
        <v>168</v>
      </c>
      <c r="C6" s="29" t="s">
        <v>168</v>
      </c>
      <c r="D6" s="26" t="n">
        <f aca="false">Assumptions!$C$12</f>
        <v>277.093</v>
      </c>
      <c r="E6" s="25" t="n">
        <f aca="false">D6/$D$5*100</f>
        <v>103.697424900735</v>
      </c>
      <c r="F6" s="29" t="s">
        <v>168</v>
      </c>
      <c r="G6" s="27"/>
    </row>
    <row r="7" customFormat="false" ht="15" hidden="false" customHeight="true" outlineLevel="0" collapsed="false">
      <c r="A7" s="12" t="s">
        <v>52</v>
      </c>
      <c r="B7" s="24" t="n">
        <f aca="false">Assumptions!$C$6</f>
        <v>34.3</v>
      </c>
      <c r="C7" s="25" t="n">
        <f aca="false">B7/$B$5*100</f>
        <v>117.064846416382</v>
      </c>
      <c r="D7" s="26" t="n">
        <f aca="false">Assumptions!$C$13</f>
        <v>288.769</v>
      </c>
      <c r="E7" s="25" t="n">
        <f aca="false">D7/$D$5*100</f>
        <v>108.066972789498</v>
      </c>
      <c r="F7" s="25" t="n">
        <f aca="false">C7/E7*100</f>
        <v>108.32620123857</v>
      </c>
      <c r="G7" s="27"/>
    </row>
    <row r="8" customFormat="false" ht="15" hidden="false" customHeight="true" outlineLevel="0" collapsed="false">
      <c r="A8" s="12" t="s">
        <v>55</v>
      </c>
      <c r="B8" s="24" t="n">
        <f aca="false">Assumptions!$C$7</f>
        <v>35.9</v>
      </c>
      <c r="C8" s="25" t="n">
        <f aca="false">B8/$B$5*100</f>
        <v>122.525597269625</v>
      </c>
      <c r="D8" s="26" t="n">
        <f aca="false">Assumptions!$C$14</f>
        <v>314.272</v>
      </c>
      <c r="E8" s="25" t="n">
        <f aca="false">D8/$D$5*100</f>
        <v>117.611044372841</v>
      </c>
      <c r="F8" s="25" t="n">
        <f aca="false">C8/E8*100</f>
        <v>104.17864914217</v>
      </c>
      <c r="G8" s="30" t="n">
        <f aca="false">F8/F7-1</f>
        <v>-0.0382876169290354</v>
      </c>
    </row>
    <row r="9" customFormat="false" ht="15" hidden="false" customHeight="true" outlineLevel="0" collapsed="false">
      <c r="A9" s="12" t="s">
        <v>58</v>
      </c>
      <c r="B9" s="24" t="n">
        <f aca="false">Assumptions!$C$8</f>
        <v>38.3</v>
      </c>
      <c r="C9" s="25" t="n">
        <f aca="false">B9/$B$5*100</f>
        <v>130.716723549488</v>
      </c>
      <c r="D9" s="26" t="n">
        <f aca="false">Assumptions!$C$15</f>
        <v>343.929</v>
      </c>
      <c r="E9" s="25" t="n">
        <f aca="false">D9/$D$5*100</f>
        <v>128.709681040967</v>
      </c>
      <c r="F9" s="25" t="n">
        <f aca="false">C9/E9*100</f>
        <v>101.559356291064</v>
      </c>
      <c r="G9" s="30" t="n">
        <f aca="false">F9/F8-1</f>
        <v>-0.0251423192052717</v>
      </c>
    </row>
    <row r="10" customFormat="false" ht="15" hidden="false" customHeight="true" outlineLevel="0" collapsed="false">
      <c r="A10" s="12" t="s">
        <v>62</v>
      </c>
      <c r="B10" s="24" t="n">
        <f aca="false">Assumptions!$C$9</f>
        <v>39.8</v>
      </c>
      <c r="C10" s="25" t="n">
        <f aca="false">B10/$B$5*100</f>
        <v>135.836177474403</v>
      </c>
      <c r="D10" s="26" t="n">
        <f aca="false">Assumptions!$C$16</f>
        <v>369.383</v>
      </c>
      <c r="E10" s="25" t="n">
        <f aca="false">D10/$D$5*100</f>
        <v>138.235415193123</v>
      </c>
      <c r="F10" s="25" t="n">
        <f aca="false">C10/E10*100</f>
        <v>98.2643827449221</v>
      </c>
      <c r="G10" s="30" t="n">
        <f aca="false">F10/F9-1</f>
        <v>-0.0324438207022367</v>
      </c>
    </row>
    <row r="11" customFormat="false" ht="15" hidden="false" customHeight="true" outlineLevel="0" collapsed="false">
      <c r="A11" s="12" t="s">
        <v>65</v>
      </c>
      <c r="B11" s="24" t="n">
        <f aca="false">Assumptions!$C$10</f>
        <v>41</v>
      </c>
      <c r="C11" s="25" t="n">
        <f aca="false">B11/$B$5*100</f>
        <v>139.931740614334</v>
      </c>
      <c r="D11" s="26" t="n">
        <f aca="false">Assumptions!$C$17</f>
        <v>393.244</v>
      </c>
      <c r="E11" s="25" t="n">
        <f aca="false">D11/$D$5*100</f>
        <v>147.164995715029</v>
      </c>
      <c r="F11" s="25" t="n">
        <f aca="false">C11/E11*100</f>
        <v>95.0849350651966</v>
      </c>
      <c r="G11" s="30" t="n">
        <f aca="false">F11/F10-1</f>
        <v>-0.0323560540544877</v>
      </c>
    </row>
    <row r="13" customFormat="false" ht="15" hidden="false" customHeight="true" outlineLevel="0" collapsed="false">
      <c r="A13" s="5" t="s">
        <v>169</v>
      </c>
    </row>
    <row r="14" customFormat="false" ht="15" hidden="false" customHeight="true" outlineLevel="0" collapsed="false">
      <c r="A14" s="3" t="s">
        <v>170</v>
      </c>
      <c r="B14" s="31" t="n">
        <f aca="false">B11/B5-1</f>
        <v>0.399317406143345</v>
      </c>
    </row>
    <row r="15" customFormat="false" ht="15" hidden="false" customHeight="true" outlineLevel="0" collapsed="false">
      <c r="A15" s="3" t="s">
        <v>171</v>
      </c>
      <c r="B15" s="31" t="n">
        <f aca="false">E11/E5-1</f>
        <v>0.471649957150288</v>
      </c>
    </row>
    <row r="16" customFormat="false" ht="15" hidden="false" customHeight="true" outlineLevel="0" collapsed="false">
      <c r="A16" s="3" t="s">
        <v>172</v>
      </c>
      <c r="B16" s="32" t="n">
        <f aca="false">F11/F5-1</f>
        <v>-0.0491506493480343</v>
      </c>
    </row>
    <row r="17" customFormat="false" ht="15" hidden="false" customHeight="true" outlineLevel="0" collapsed="false">
      <c r="A17" s="3" t="s">
        <v>173</v>
      </c>
      <c r="B17" s="7" t="s">
        <v>52</v>
      </c>
    </row>
    <row r="19" customFormat="false" ht="15" hidden="false" customHeight="true" outlineLevel="0" collapsed="false">
      <c r="A19" s="4" t="s">
        <v>174</v>
      </c>
    </row>
    <row r="20" customFormat="false" ht="15" hidden="false" customHeight="true" outlineLevel="0" collapsed="false">
      <c r="A20" s="4" t="s">
        <v>175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4" min="2" style="1" width="12"/>
    <col collapsed="false" customWidth="true" hidden="false" outlineLevel="0" max="5" min="5" style="1" width="52"/>
  </cols>
  <sheetData>
    <row r="1" customFormat="false" ht="17.25" hidden="false" customHeight="true" outlineLevel="0" collapsed="false">
      <c r="A1" s="2" t="s">
        <v>176</v>
      </c>
    </row>
    <row r="2" customFormat="false" ht="15" hidden="false" customHeight="true" outlineLevel="0" collapsed="false">
      <c r="A2" s="4" t="s">
        <v>177</v>
      </c>
    </row>
    <row r="4" customFormat="false" ht="15" hidden="false" customHeight="true" outlineLevel="0" collapsed="false">
      <c r="A4" s="11" t="s">
        <v>178</v>
      </c>
      <c r="B4" s="11" t="s">
        <v>179</v>
      </c>
      <c r="C4" s="11" t="s">
        <v>180</v>
      </c>
      <c r="D4" s="11" t="s">
        <v>43</v>
      </c>
    </row>
    <row r="5" customFormat="false" ht="15" hidden="false" customHeight="true" outlineLevel="0" collapsed="false">
      <c r="A5" s="12" t="s">
        <v>181</v>
      </c>
      <c r="B5" s="30" t="n">
        <f aca="false">SpendSeries!E11/SpendSeries!E10-1</f>
        <v>0.0645969088994349</v>
      </c>
      <c r="C5" s="13" t="s">
        <v>182</v>
      </c>
      <c r="D5" s="13" t="s">
        <v>28</v>
      </c>
    </row>
    <row r="6" customFormat="false" ht="15" hidden="false" customHeight="true" outlineLevel="0" collapsed="false">
      <c r="A6" s="12" t="s">
        <v>183</v>
      </c>
      <c r="B6" s="33" t="n">
        <f aca="false">Assumptions!$C$20</f>
        <v>-0.031</v>
      </c>
      <c r="C6" s="13" t="s">
        <v>184</v>
      </c>
      <c r="D6" s="13" t="s">
        <v>28</v>
      </c>
    </row>
    <row r="7" customFormat="false" ht="15" hidden="false" customHeight="true" outlineLevel="0" collapsed="false">
      <c r="A7" s="12" t="s">
        <v>185</v>
      </c>
      <c r="B7" s="34" t="n">
        <f aca="false">Assumptions!$C$22-B5-B6</f>
        <v>-0.00859690889943492</v>
      </c>
      <c r="C7" s="13" t="s">
        <v>186</v>
      </c>
      <c r="D7" s="19" t="s">
        <v>112</v>
      </c>
    </row>
    <row r="8" customFormat="false" ht="15" hidden="false" customHeight="true" outlineLevel="0" collapsed="false">
      <c r="A8" s="12" t="s">
        <v>187</v>
      </c>
      <c r="B8" s="35" t="n">
        <f aca="false">SUM(B5:B7)</f>
        <v>0.025</v>
      </c>
      <c r="C8" s="13" t="s">
        <v>188</v>
      </c>
      <c r="D8" s="13" t="s">
        <v>28</v>
      </c>
    </row>
    <row r="9" customFormat="false" ht="15" hidden="false" customHeight="true" outlineLevel="0" collapsed="false">
      <c r="A9" s="3" t="s">
        <v>189</v>
      </c>
      <c r="B9" s="31" t="n">
        <f aca="false">B8-Assumptions!$C$22</f>
        <v>0</v>
      </c>
      <c r="C9" s="4" t="s">
        <v>190</v>
      </c>
    </row>
    <row r="12" customFormat="false" ht="15" hidden="false" customHeight="true" outlineLevel="0" collapsed="false">
      <c r="A12" s="5" t="s">
        <v>191</v>
      </c>
    </row>
    <row r="13" customFormat="false" ht="15" hidden="false" customHeight="true" outlineLevel="0" collapsed="false">
      <c r="A13" s="11" t="s">
        <v>192</v>
      </c>
      <c r="B13" s="11" t="s">
        <v>58</v>
      </c>
      <c r="C13" s="11" t="s">
        <v>62</v>
      </c>
      <c r="D13" s="11" t="s">
        <v>65</v>
      </c>
      <c r="E13" s="11" t="s">
        <v>193</v>
      </c>
    </row>
    <row r="14" customFormat="false" ht="15" hidden="false" customHeight="true" outlineLevel="0" collapsed="false">
      <c r="A14" s="3" t="s">
        <v>194</v>
      </c>
      <c r="B14" s="36" t="n">
        <f aca="false">Assumptions!$C$18</f>
        <v>-0.014</v>
      </c>
      <c r="C14" s="36" t="n">
        <f aca="false">Assumptions!$C$19</f>
        <v>-0.026</v>
      </c>
      <c r="D14" s="36" t="n">
        <f aca="false">Assumptions!$C$20</f>
        <v>-0.031</v>
      </c>
      <c r="E14" s="7" t="s">
        <v>195</v>
      </c>
    </row>
    <row r="15" customFormat="false" ht="15" hidden="false" customHeight="true" outlineLevel="0" collapsed="false">
      <c r="A15" s="3" t="s">
        <v>196</v>
      </c>
      <c r="D15" s="36" t="n">
        <f aca="false">Assumptions!$C$21</f>
        <v>-0.019</v>
      </c>
      <c r="E15" s="7" t="s">
        <v>197</v>
      </c>
    </row>
    <row r="16" customFormat="false" ht="15" hidden="false" customHeight="true" outlineLevel="0" collapsed="false">
      <c r="A16" s="3" t="s">
        <v>198</v>
      </c>
      <c r="D16" s="36" t="n">
        <f aca="false">Assumptions!$C$23</f>
        <v>-0.038</v>
      </c>
      <c r="E16" s="7" t="s">
        <v>199</v>
      </c>
    </row>
    <row r="17" customFormat="false" ht="15" hidden="false" customHeight="true" outlineLevel="0" collapsed="false">
      <c r="A17" s="3" t="s">
        <v>200</v>
      </c>
      <c r="D17" s="36" t="n">
        <f aca="false">Assumptions!$C$24</f>
        <v>-0.062</v>
      </c>
      <c r="E17" s="7" t="s">
        <v>201</v>
      </c>
    </row>
    <row r="19" customFormat="false" ht="15" hidden="false" customHeight="true" outlineLevel="0" collapsed="false">
      <c r="A19" s="4" t="s">
        <v>202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34"/>
    <col collapsed="false" customWidth="true" hidden="false" outlineLevel="0" max="3" min="3" style="1" width="10"/>
    <col collapsed="false" customWidth="true" hidden="false" outlineLevel="0" max="4" min="4" style="1" width="74"/>
    <col collapsed="false" customWidth="true" hidden="false" outlineLevel="0" max="5" min="5" style="1" width="13"/>
  </cols>
  <sheetData>
    <row r="1" customFormat="false" ht="17.25" hidden="false" customHeight="true" outlineLevel="0" collapsed="false">
      <c r="A1" s="2" t="s">
        <v>203</v>
      </c>
    </row>
    <row r="2" customFormat="false" ht="15" hidden="false" customHeight="true" outlineLevel="0" collapsed="false">
      <c r="A2" s="4" t="s">
        <v>204</v>
      </c>
    </row>
    <row r="4" customFormat="false" ht="15" hidden="false" customHeight="true" outlineLevel="0" collapsed="false">
      <c r="A4" s="11" t="s">
        <v>205</v>
      </c>
      <c r="B4" s="11" t="s">
        <v>206</v>
      </c>
      <c r="C4" s="11" t="s">
        <v>207</v>
      </c>
      <c r="D4" s="11" t="s">
        <v>208</v>
      </c>
      <c r="E4" s="11" t="s">
        <v>43</v>
      </c>
    </row>
    <row r="5" customFormat="false" ht="45.75" hidden="false" customHeight="true" outlineLevel="0" collapsed="false">
      <c r="A5" s="12" t="s">
        <v>209</v>
      </c>
      <c r="B5" s="37" t="s">
        <v>210</v>
      </c>
      <c r="C5" s="38" t="n">
        <v>1</v>
      </c>
      <c r="D5" s="39" t="s">
        <v>211</v>
      </c>
      <c r="E5" s="13" t="s">
        <v>30</v>
      </c>
    </row>
    <row r="6" customFormat="false" ht="45.75" hidden="false" customHeight="true" outlineLevel="0" collapsed="false">
      <c r="A6" s="12" t="s">
        <v>212</v>
      </c>
      <c r="B6" s="37" t="s">
        <v>213</v>
      </c>
      <c r="C6" s="38" t="n">
        <v>2</v>
      </c>
      <c r="D6" s="39" t="s">
        <v>214</v>
      </c>
      <c r="E6" s="13" t="s">
        <v>28</v>
      </c>
    </row>
    <row r="7" customFormat="false" ht="45.75" hidden="false" customHeight="true" outlineLevel="0" collapsed="false">
      <c r="A7" s="12" t="s">
        <v>215</v>
      </c>
      <c r="B7" s="40" t="s">
        <v>216</v>
      </c>
      <c r="C7" s="38" t="n">
        <v>0</v>
      </c>
      <c r="D7" s="39" t="s">
        <v>217</v>
      </c>
      <c r="E7" s="13" t="s">
        <v>28</v>
      </c>
    </row>
    <row r="8" customFormat="false" ht="45.75" hidden="false" customHeight="true" outlineLevel="0" collapsed="false">
      <c r="A8" s="12" t="s">
        <v>218</v>
      </c>
      <c r="B8" s="40" t="s">
        <v>219</v>
      </c>
      <c r="C8" s="38" t="n">
        <v>0</v>
      </c>
      <c r="D8" s="39" t="s">
        <v>220</v>
      </c>
      <c r="E8" s="13" t="s">
        <v>221</v>
      </c>
    </row>
    <row r="9" customFormat="false" ht="45.75" hidden="false" customHeight="true" outlineLevel="0" collapsed="false">
      <c r="A9" s="12" t="s">
        <v>222</v>
      </c>
      <c r="B9" s="19" t="s">
        <v>223</v>
      </c>
      <c r="C9" s="38" t="n">
        <v>-2</v>
      </c>
      <c r="D9" s="39" t="s">
        <v>224</v>
      </c>
      <c r="E9" s="13" t="s">
        <v>30</v>
      </c>
    </row>
    <row r="10" customFormat="false" ht="45.75" hidden="false" customHeight="true" outlineLevel="0" collapsed="false">
      <c r="A10" s="12" t="s">
        <v>225</v>
      </c>
      <c r="B10" s="40" t="s">
        <v>226</v>
      </c>
      <c r="C10" s="38" t="n">
        <v>0</v>
      </c>
      <c r="D10" s="39" t="s">
        <v>227</v>
      </c>
      <c r="E10" s="13" t="s">
        <v>30</v>
      </c>
    </row>
    <row r="11" customFormat="false" ht="15" hidden="false" customHeight="true" outlineLevel="0" collapsed="false">
      <c r="A11" s="3" t="s">
        <v>228</v>
      </c>
      <c r="C11" s="41"/>
      <c r="D11" s="4" t="s">
        <v>229</v>
      </c>
    </row>
    <row r="13" customFormat="false" ht="15" hidden="false" customHeight="true" outlineLevel="0" collapsed="false">
      <c r="A13" s="4" t="s">
        <v>230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40"/>
    <col collapsed="false" customWidth="true" hidden="false" outlineLevel="0" max="2" min="2" style="1" width="16"/>
    <col collapsed="false" customWidth="true" hidden="false" outlineLevel="0" max="3" min="3" style="1" width="14"/>
    <col collapsed="false" customWidth="true" hidden="false" outlineLevel="0" max="4" min="4" style="1" width="54"/>
    <col collapsed="false" customWidth="true" hidden="false" outlineLevel="0" max="5" min="5" style="1" width="14"/>
  </cols>
  <sheetData>
    <row r="1" customFormat="false" ht="17.25" hidden="false" customHeight="true" outlineLevel="0" collapsed="false">
      <c r="A1" s="2" t="s">
        <v>231</v>
      </c>
    </row>
    <row r="2" customFormat="false" ht="15" hidden="false" customHeight="true" outlineLevel="0" collapsed="false">
      <c r="A2" s="4" t="s">
        <v>232</v>
      </c>
    </row>
    <row r="4" customFormat="false" ht="15" hidden="false" customHeight="true" outlineLevel="0" collapsed="false">
      <c r="A4" s="11" t="s">
        <v>233</v>
      </c>
      <c r="B4" s="11" t="s">
        <v>40</v>
      </c>
      <c r="C4" s="11" t="s">
        <v>234</v>
      </c>
      <c r="D4" s="11" t="s">
        <v>180</v>
      </c>
      <c r="E4" s="11" t="s">
        <v>43</v>
      </c>
    </row>
    <row r="5" customFormat="false" ht="15" hidden="false" customHeight="true" outlineLevel="0" collapsed="false">
      <c r="A5" s="7" t="s">
        <v>129</v>
      </c>
      <c r="B5" s="42" t="n">
        <f aca="false">Assumptions!$C$34</f>
        <v>120</v>
      </c>
      <c r="C5" s="7" t="s">
        <v>122</v>
      </c>
      <c r="D5" s="7" t="s">
        <v>235</v>
      </c>
      <c r="E5" s="7" t="s">
        <v>28</v>
      </c>
    </row>
    <row r="6" customFormat="false" ht="15" hidden="false" customHeight="true" outlineLevel="0" collapsed="false">
      <c r="A6" s="7" t="s">
        <v>236</v>
      </c>
      <c r="B6" s="43" t="n">
        <f aca="false">Assumptions!$C$33</f>
        <v>42</v>
      </c>
      <c r="D6" s="7" t="s">
        <v>235</v>
      </c>
      <c r="E6" s="7" t="s">
        <v>28</v>
      </c>
    </row>
    <row r="7" customFormat="false" ht="15" hidden="false" customHeight="true" outlineLevel="0" collapsed="false">
      <c r="A7" s="3" t="s">
        <v>237</v>
      </c>
      <c r="B7" s="44" t="n">
        <f aca="false">B5/B6</f>
        <v>2.85714285714286</v>
      </c>
      <c r="C7" s="7" t="s">
        <v>122</v>
      </c>
      <c r="D7" s="7" t="s">
        <v>238</v>
      </c>
      <c r="E7" s="7" t="s">
        <v>32</v>
      </c>
    </row>
    <row r="8" customFormat="false" ht="15" hidden="false" customHeight="true" outlineLevel="0" collapsed="false">
      <c r="A8" s="7" t="s">
        <v>239</v>
      </c>
      <c r="B8" s="42" t="n">
        <f aca="false">Assumptions!$C$32</f>
        <v>1.5</v>
      </c>
      <c r="C8" s="7" t="s">
        <v>122</v>
      </c>
      <c r="D8" s="7" t="s">
        <v>240</v>
      </c>
      <c r="E8" s="7" t="s">
        <v>30</v>
      </c>
    </row>
    <row r="9" customFormat="false" ht="15" hidden="false" customHeight="true" outlineLevel="0" collapsed="false">
      <c r="A9" s="3" t="s">
        <v>241</v>
      </c>
      <c r="B9" s="45" t="n">
        <f aca="false">B7/B8</f>
        <v>1.9047619047619</v>
      </c>
      <c r="D9" s="7" t="s">
        <v>242</v>
      </c>
    </row>
    <row r="11" customFormat="false" ht="15" hidden="false" customHeight="true" outlineLevel="0" collapsed="false">
      <c r="A11" s="5" t="s">
        <v>243</v>
      </c>
    </row>
    <row r="12" customFormat="false" ht="15" hidden="false" customHeight="true" outlineLevel="0" collapsed="false">
      <c r="A12" s="7" t="s">
        <v>244</v>
      </c>
    </row>
    <row r="13" customFormat="false" ht="15" hidden="false" customHeight="true" outlineLevel="0" collapsed="false">
      <c r="A13" s="7" t="s">
        <v>245</v>
      </c>
    </row>
    <row r="14" customFormat="false" ht="15" hidden="false" customHeight="true" outlineLevel="0" collapsed="false">
      <c r="A14" s="7" t="s">
        <v>246</v>
      </c>
    </row>
    <row r="15" customFormat="false" ht="15" hidden="false" customHeight="true" outlineLevel="0" collapsed="false">
      <c r="A15" s="7" t="s">
        <v>247</v>
      </c>
    </row>
    <row r="16" customFormat="false" ht="15" hidden="false" customHeight="true" outlineLevel="0" collapsed="false">
      <c r="A16" s="5" t="s">
        <v>248</v>
      </c>
    </row>
    <row r="17" customFormat="false" ht="15" hidden="false" customHeight="true" outlineLevel="0" collapsed="false">
      <c r="A17" s="3" t="s">
        <v>249</v>
      </c>
      <c r="B17" s="46" t="s">
        <v>62</v>
      </c>
    </row>
    <row r="18" customFormat="false" ht="15" hidden="false" customHeight="true" outlineLevel="0" collapsed="false">
      <c r="A18" s="3" t="s">
        <v>250</v>
      </c>
      <c r="B18" s="46" t="s">
        <v>251</v>
      </c>
    </row>
    <row r="19" customFormat="false" ht="15" hidden="false" customHeight="true" outlineLevel="0" collapsed="false">
      <c r="A19" s="3" t="s">
        <v>252</v>
      </c>
      <c r="B19" s="47" t="n">
        <f aca="false">Assumptions!$C$32*(1+Assumptions!$C$42)^2</f>
        <v>1.5759375</v>
      </c>
    </row>
    <row r="20" customFormat="false" ht="15" hidden="false" customHeight="true" outlineLevel="0" collapsed="false">
      <c r="A20" s="3" t="s">
        <v>253</v>
      </c>
      <c r="B20" s="45" t="n">
        <f aca="false">B7/B19</f>
        <v>1.81297980227189</v>
      </c>
    </row>
    <row r="21" customFormat="false" ht="15" hidden="false" customHeight="true" outlineLevel="0" collapsed="false">
      <c r="A21" s="3" t="s">
        <v>254</v>
      </c>
      <c r="B21" s="48" t="n">
        <f aca="false">B7/B8</f>
        <v>1.9047619047619</v>
      </c>
    </row>
    <row r="22" customFormat="false" ht="15" hidden="false" customHeight="true" outlineLevel="0" collapsed="false">
      <c r="A22" s="4" t="s">
        <v>255</v>
      </c>
    </row>
    <row r="23" customFormat="false" ht="15" hidden="false" customHeight="true" outlineLevel="0" collapsed="false">
      <c r="A23" s="1" t="s">
        <v>256</v>
      </c>
      <c r="B23" s="49" t="n">
        <f aca="false">Assumptions!$C$32*(1+PriceVolume!$B$5)^2</f>
        <v>1.70004986765735</v>
      </c>
    </row>
    <row r="24" customFormat="false" ht="15" hidden="false" customHeight="true" outlineLevel="0" collapsed="false">
      <c r="A24" s="1" t="s">
        <v>257</v>
      </c>
      <c r="B24" s="50" t="n">
        <f aca="false">B7/B23</f>
        <v>1.6806229696544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6"/>
    <col collapsed="false" customWidth="true" hidden="false" outlineLevel="0" max="2" min="2" style="1" width="26"/>
    <col collapsed="false" customWidth="true" hidden="false" outlineLevel="0" max="3" min="3" style="1" width="56"/>
    <col collapsed="false" customWidth="true" hidden="false" outlineLevel="0" max="4" min="4" style="1" width="13"/>
    <col collapsed="false" customWidth="true" hidden="false" outlineLevel="0" max="5" min="5" style="1" width="82"/>
  </cols>
  <sheetData>
    <row r="1" customFormat="false" ht="17.25" hidden="false" customHeight="true" outlineLevel="0" collapsed="false">
      <c r="A1" s="2" t="s">
        <v>258</v>
      </c>
    </row>
    <row r="3" customFormat="false" ht="15" hidden="false" customHeight="true" outlineLevel="0" collapsed="false">
      <c r="A3" s="11" t="s">
        <v>259</v>
      </c>
      <c r="B3" s="11" t="s">
        <v>260</v>
      </c>
      <c r="C3" s="11" t="s">
        <v>261</v>
      </c>
      <c r="D3" s="11" t="s">
        <v>43</v>
      </c>
      <c r="E3" s="11" t="s">
        <v>262</v>
      </c>
    </row>
    <row r="4" customFormat="false" ht="33.75" hidden="false" customHeight="true" outlineLevel="0" collapsed="false">
      <c r="A4" s="13" t="n">
        <v>1</v>
      </c>
      <c r="B4" s="13" t="s">
        <v>263</v>
      </c>
      <c r="C4" s="39" t="s">
        <v>264</v>
      </c>
      <c r="D4" s="13" t="s">
        <v>28</v>
      </c>
      <c r="E4" s="51" t="s">
        <v>265</v>
      </c>
    </row>
    <row r="5" customFormat="false" ht="33.75" hidden="false" customHeight="true" outlineLevel="0" collapsed="false">
      <c r="A5" s="13" t="n">
        <v>2</v>
      </c>
      <c r="B5" s="13" t="s">
        <v>266</v>
      </c>
      <c r="C5" s="39" t="s">
        <v>267</v>
      </c>
      <c r="D5" s="13" t="s">
        <v>28</v>
      </c>
      <c r="E5" s="51" t="s">
        <v>268</v>
      </c>
    </row>
    <row r="6" customFormat="false" ht="33.75" hidden="false" customHeight="true" outlineLevel="0" collapsed="false">
      <c r="A6" s="13" t="n">
        <v>3</v>
      </c>
      <c r="B6" s="13" t="s">
        <v>133</v>
      </c>
      <c r="C6" s="39" t="s">
        <v>269</v>
      </c>
      <c r="D6" s="13" t="s">
        <v>28</v>
      </c>
      <c r="E6" s="51" t="s">
        <v>270</v>
      </c>
    </row>
    <row r="7" customFormat="false" ht="33.75" hidden="false" customHeight="true" outlineLevel="0" collapsed="false">
      <c r="A7" s="13" t="n">
        <v>4</v>
      </c>
      <c r="B7" s="13" t="s">
        <v>133</v>
      </c>
      <c r="C7" s="39" t="s">
        <v>271</v>
      </c>
      <c r="D7" s="13" t="s">
        <v>28</v>
      </c>
      <c r="E7" s="51" t="s">
        <v>272</v>
      </c>
    </row>
    <row r="8" customFormat="false" ht="33.75" hidden="false" customHeight="true" outlineLevel="0" collapsed="false">
      <c r="A8" s="13" t="n">
        <v>5</v>
      </c>
      <c r="B8" s="13" t="s">
        <v>273</v>
      </c>
      <c r="C8" s="39" t="s">
        <v>274</v>
      </c>
      <c r="D8" s="13" t="s">
        <v>28</v>
      </c>
      <c r="E8" s="51" t="s">
        <v>275</v>
      </c>
    </row>
    <row r="9" customFormat="false" ht="33.75" hidden="false" customHeight="true" outlineLevel="0" collapsed="false">
      <c r="A9" s="13" t="n">
        <v>6</v>
      </c>
      <c r="B9" s="13" t="s">
        <v>276</v>
      </c>
      <c r="C9" s="39" t="s">
        <v>277</v>
      </c>
      <c r="D9" s="13" t="s">
        <v>28</v>
      </c>
      <c r="E9" s="51" t="s">
        <v>278</v>
      </c>
    </row>
    <row r="10" customFormat="false" ht="33.75" hidden="false" customHeight="true" outlineLevel="0" collapsed="false">
      <c r="A10" s="13" t="n">
        <v>7</v>
      </c>
      <c r="B10" s="13" t="s">
        <v>279</v>
      </c>
      <c r="C10" s="39" t="s">
        <v>280</v>
      </c>
      <c r="D10" s="13" t="s">
        <v>28</v>
      </c>
      <c r="E10" s="51" t="s">
        <v>281</v>
      </c>
    </row>
    <row r="11" customFormat="false" ht="33.75" hidden="false" customHeight="true" outlineLevel="0" collapsed="false">
      <c r="A11" s="13" t="n">
        <v>8</v>
      </c>
      <c r="B11" s="13" t="s">
        <v>282</v>
      </c>
      <c r="C11" s="39" t="s">
        <v>283</v>
      </c>
      <c r="D11" s="13" t="s">
        <v>28</v>
      </c>
      <c r="E11" s="51" t="s">
        <v>284</v>
      </c>
    </row>
    <row r="12" customFormat="false" ht="33.75" hidden="false" customHeight="true" outlineLevel="0" collapsed="false">
      <c r="A12" s="13" t="n">
        <v>9</v>
      </c>
      <c r="B12" s="13" t="s">
        <v>285</v>
      </c>
      <c r="C12" s="39" t="s">
        <v>286</v>
      </c>
      <c r="D12" s="13" t="s">
        <v>28</v>
      </c>
      <c r="E12" s="51" t="s">
        <v>287</v>
      </c>
    </row>
    <row r="13" customFormat="false" ht="33.75" hidden="false" customHeight="true" outlineLevel="0" collapsed="false">
      <c r="A13" s="13" t="n">
        <v>10</v>
      </c>
      <c r="B13" s="13" t="s">
        <v>288</v>
      </c>
      <c r="C13" s="39" t="s">
        <v>289</v>
      </c>
      <c r="D13" s="13" t="s">
        <v>28</v>
      </c>
      <c r="E13" s="51" t="s">
        <v>290</v>
      </c>
    </row>
    <row r="14" customFormat="false" ht="33.75" hidden="false" customHeight="true" outlineLevel="0" collapsed="false">
      <c r="A14" s="13" t="n">
        <v>11</v>
      </c>
      <c r="B14" s="13" t="s">
        <v>291</v>
      </c>
      <c r="C14" s="39" t="s">
        <v>292</v>
      </c>
      <c r="D14" s="13" t="s">
        <v>28</v>
      </c>
      <c r="E14" s="51" t="s">
        <v>293</v>
      </c>
    </row>
    <row r="15" customFormat="false" ht="33.75" hidden="false" customHeight="true" outlineLevel="0" collapsed="false">
      <c r="A15" s="13" t="n">
        <v>12</v>
      </c>
      <c r="B15" s="13" t="s">
        <v>294</v>
      </c>
      <c r="C15" s="39" t="s">
        <v>295</v>
      </c>
      <c r="D15" s="13" t="s">
        <v>28</v>
      </c>
      <c r="E15" s="51" t="s">
        <v>284</v>
      </c>
    </row>
    <row r="16" customFormat="false" ht="33.75" hidden="false" customHeight="true" outlineLevel="0" collapsed="false">
      <c r="A16" s="13" t="n">
        <v>13</v>
      </c>
      <c r="B16" s="13" t="s">
        <v>296</v>
      </c>
      <c r="C16" s="39" t="s">
        <v>297</v>
      </c>
      <c r="D16" s="13" t="s">
        <v>28</v>
      </c>
      <c r="E16" s="51" t="s">
        <v>298</v>
      </c>
    </row>
    <row r="17" customFormat="false" ht="33.75" hidden="false" customHeight="true" outlineLevel="0" collapsed="false">
      <c r="A17" s="13" t="n">
        <v>14</v>
      </c>
      <c r="B17" s="13" t="s">
        <v>299</v>
      </c>
      <c r="C17" s="39" t="s">
        <v>300</v>
      </c>
      <c r="D17" s="13" t="s">
        <v>30</v>
      </c>
      <c r="E17" s="51" t="s">
        <v>301</v>
      </c>
    </row>
    <row r="18" customFormat="false" ht="33.75" hidden="false" customHeight="true" outlineLevel="0" collapsed="false">
      <c r="A18" s="13" t="n">
        <v>15</v>
      </c>
      <c r="B18" s="13" t="s">
        <v>302</v>
      </c>
      <c r="C18" s="39" t="s">
        <v>303</v>
      </c>
      <c r="D18" s="13" t="s">
        <v>30</v>
      </c>
      <c r="E18" s="51" t="s">
        <v>304</v>
      </c>
    </row>
    <row r="19" customFormat="false" ht="33.75" hidden="false" customHeight="true" outlineLevel="0" collapsed="false">
      <c r="A19" s="13" t="n">
        <v>16</v>
      </c>
      <c r="B19" s="13" t="s">
        <v>305</v>
      </c>
      <c r="C19" s="39" t="s">
        <v>306</v>
      </c>
      <c r="D19" s="13" t="s">
        <v>30</v>
      </c>
      <c r="E19" s="51" t="s">
        <v>307</v>
      </c>
    </row>
    <row r="20" customFormat="false" ht="15" hidden="false" customHeight="true" outlineLevel="0" collapsed="false">
      <c r="A20" s="1" t="n">
        <v>17</v>
      </c>
      <c r="B20" s="1" t="s">
        <v>308</v>
      </c>
      <c r="C20" s="1" t="s">
        <v>309</v>
      </c>
      <c r="D20" s="1" t="s">
        <v>30</v>
      </c>
      <c r="E20" s="1" t="s">
        <v>310</v>
      </c>
    </row>
    <row r="21" customFormat="false" ht="15" hidden="false" customHeight="true" outlineLevel="0" collapsed="false">
      <c r="A21" s="1" t="n">
        <v>18</v>
      </c>
      <c r="B21" s="4" t="s">
        <v>311</v>
      </c>
      <c r="C21" s="1" t="s">
        <v>312</v>
      </c>
      <c r="D21" s="1" t="s">
        <v>30</v>
      </c>
      <c r="E21" s="1" t="s">
        <v>313</v>
      </c>
    </row>
    <row r="22" customFormat="false" ht="15" hidden="false" customHeight="true" outlineLevel="0" collapsed="false">
      <c r="A22" s="1" t="n">
        <v>19</v>
      </c>
      <c r="B22" s="1" t="s">
        <v>314</v>
      </c>
      <c r="C22" s="1" t="s">
        <v>315</v>
      </c>
      <c r="D22" s="1" t="s">
        <v>30</v>
      </c>
      <c r="E22" s="1" t="s">
        <v>316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54"/>
    <col collapsed="false" customWidth="true" hidden="false" outlineLevel="0" max="4" min="2" style="1" width="14"/>
    <col collapsed="false" customWidth="true" hidden="false" outlineLevel="0" max="5" min="5" style="1" width="50"/>
    <col collapsed="false" customWidth="true" hidden="false" outlineLevel="0" max="6" min="6" style="1" width="14"/>
  </cols>
  <sheetData>
    <row r="1" customFormat="false" ht="17.25" hidden="false" customHeight="true" outlineLevel="0" collapsed="false">
      <c r="A1" s="2" t="s">
        <v>317</v>
      </c>
    </row>
    <row r="2" customFormat="false" ht="15" hidden="false" customHeight="true" outlineLevel="0" collapsed="false">
      <c r="A2" s="4" t="s">
        <v>318</v>
      </c>
    </row>
    <row r="4" customFormat="false" ht="15" hidden="false" customHeight="true" outlineLevel="0" collapsed="false">
      <c r="A4" s="5" t="s">
        <v>319</v>
      </c>
    </row>
    <row r="5" customFormat="false" ht="15" hidden="false" customHeight="true" outlineLevel="0" collapsed="false">
      <c r="A5" s="52" t="s">
        <v>320</v>
      </c>
      <c r="B5" s="52" t="s">
        <v>40</v>
      </c>
      <c r="C5" s="52" t="s">
        <v>234</v>
      </c>
      <c r="D5" s="52"/>
      <c r="E5" s="52" t="s">
        <v>180</v>
      </c>
      <c r="F5" s="52" t="s">
        <v>43</v>
      </c>
    </row>
    <row r="6" customFormat="false" ht="15" hidden="false" customHeight="true" outlineLevel="0" collapsed="false">
      <c r="A6" s="7" t="s">
        <v>102</v>
      </c>
      <c r="B6" s="42" t="n">
        <f aca="false">Assumptions!$C$25</f>
        <v>68.7</v>
      </c>
      <c r="E6" s="7" t="s">
        <v>321</v>
      </c>
      <c r="F6" s="7" t="s">
        <v>28</v>
      </c>
    </row>
    <row r="7" customFormat="false" ht="15" hidden="false" customHeight="true" outlineLevel="0" collapsed="false">
      <c r="A7" s="7" t="s">
        <v>322</v>
      </c>
      <c r="B7" s="36" t="n">
        <f aca="false">Assumptions!$C$44</f>
        <v>0.627</v>
      </c>
      <c r="E7" s="7" t="s">
        <v>323</v>
      </c>
      <c r="F7" s="7" t="s">
        <v>30</v>
      </c>
    </row>
    <row r="8" customFormat="false" ht="15" hidden="false" customHeight="true" outlineLevel="0" collapsed="false">
      <c r="A8" s="7" t="s">
        <v>324</v>
      </c>
      <c r="B8" s="53" t="n">
        <f aca="false">1-Assumptions!$C$46</f>
        <v>0.78</v>
      </c>
      <c r="E8" s="7" t="s">
        <v>325</v>
      </c>
      <c r="F8" s="10" t="s">
        <v>112</v>
      </c>
    </row>
    <row r="9" customFormat="false" ht="15" hidden="false" customHeight="true" outlineLevel="0" collapsed="false">
      <c r="A9" s="3" t="s">
        <v>326</v>
      </c>
      <c r="B9" s="44" t="n">
        <f aca="false">B6*B7*B8</f>
        <v>33.598422</v>
      </c>
      <c r="E9" s="7" t="s">
        <v>327</v>
      </c>
      <c r="F9" s="7" t="s">
        <v>30</v>
      </c>
    </row>
    <row r="11" customFormat="false" ht="15" hidden="false" customHeight="true" outlineLevel="0" collapsed="false">
      <c r="A11" s="5" t="s">
        <v>328</v>
      </c>
    </row>
    <row r="12" customFormat="false" ht="15" hidden="false" customHeight="true" outlineLevel="0" collapsed="false">
      <c r="A12" s="7" t="s">
        <v>329</v>
      </c>
      <c r="B12" s="43" t="n">
        <f aca="false">Assumptions!$C$41*B7*B8</f>
        <v>27757.08936</v>
      </c>
    </row>
    <row r="13" customFormat="false" ht="15" hidden="false" customHeight="true" outlineLevel="0" collapsed="false">
      <c r="A13" s="3" t="s">
        <v>330</v>
      </c>
      <c r="B13" s="54" t="n">
        <f aca="false">B9*1000/B12</f>
        <v>1.21044471069138</v>
      </c>
    </row>
    <row r="14" customFormat="false" ht="15" hidden="false" customHeight="true" outlineLevel="0" collapsed="false">
      <c r="A14" s="7" t="s">
        <v>331</v>
      </c>
      <c r="B14" s="55" t="n">
        <f aca="false">Assumptions!$C$25*1000/Assumptions!$C$41</f>
        <v>1.21044471069138</v>
      </c>
    </row>
    <row r="15" customFormat="false" ht="15" hidden="false" customHeight="true" outlineLevel="0" collapsed="false">
      <c r="A15" s="3" t="s">
        <v>332</v>
      </c>
      <c r="B15" s="54" t="n">
        <f aca="false">B13-B14</f>
        <v>0</v>
      </c>
    </row>
    <row r="16" customFormat="false" ht="15" hidden="false" customHeight="true" outlineLevel="0" collapsed="false">
      <c r="A16" s="4" t="s">
        <v>333</v>
      </c>
    </row>
    <row r="18" customFormat="false" ht="15" hidden="false" customHeight="true" outlineLevel="0" collapsed="false">
      <c r="A18" s="5" t="s">
        <v>334</v>
      </c>
    </row>
    <row r="19" customFormat="false" ht="15" hidden="false" customHeight="true" outlineLevel="0" collapsed="false">
      <c r="A19" s="7" t="s">
        <v>335</v>
      </c>
      <c r="B19" s="42" t="n">
        <f aca="false">Assumptions!$C$28</f>
        <v>41</v>
      </c>
      <c r="E19" s="7" t="s">
        <v>336</v>
      </c>
      <c r="F19" s="7" t="s">
        <v>28</v>
      </c>
    </row>
    <row r="20" customFormat="false" ht="15" hidden="false" customHeight="true" outlineLevel="0" collapsed="false">
      <c r="A20" s="7" t="s">
        <v>337</v>
      </c>
      <c r="B20" s="56" t="n">
        <f aca="false">B9</f>
        <v>33.598422</v>
      </c>
      <c r="E20" s="7" t="s">
        <v>338</v>
      </c>
      <c r="F20" s="7" t="s">
        <v>30</v>
      </c>
    </row>
    <row r="21" customFormat="false" ht="15" hidden="false" customHeight="true" outlineLevel="0" collapsed="false">
      <c r="A21" s="3" t="s">
        <v>339</v>
      </c>
      <c r="B21" s="57" t="n">
        <f aca="false">B19/B20-1</f>
        <v>0.220295405540177</v>
      </c>
      <c r="E21" s="7" t="s">
        <v>340</v>
      </c>
    </row>
    <row r="22" customFormat="false" ht="15" hidden="false" customHeight="true" outlineLevel="0" collapsed="false">
      <c r="A22" s="4" t="s">
        <v>341</v>
      </c>
    </row>
    <row r="24" customFormat="false" ht="15" hidden="false" customHeight="true" outlineLevel="0" collapsed="false">
      <c r="A24" s="5" t="s">
        <v>342</v>
      </c>
    </row>
    <row r="25" customFormat="false" ht="15" hidden="false" customHeight="true" outlineLevel="0" collapsed="false">
      <c r="A25" s="52" t="s">
        <v>343</v>
      </c>
      <c r="B25" s="52" t="s">
        <v>344</v>
      </c>
      <c r="C25" s="52" t="s">
        <v>345</v>
      </c>
      <c r="D25" s="52" t="s">
        <v>346</v>
      </c>
      <c r="E25" s="52"/>
      <c r="F25" s="52"/>
    </row>
    <row r="26" customFormat="false" ht="15" hidden="false" customHeight="true" outlineLevel="0" collapsed="false">
      <c r="A26" s="22" t="n">
        <v>0.58</v>
      </c>
      <c r="B26" s="22" t="n">
        <v>0.74</v>
      </c>
      <c r="C26" s="58" t="n">
        <f aca="false">Assumptions!$C$25*A26*B26</f>
        <v>29.48604</v>
      </c>
      <c r="D26" s="59" t="n">
        <f aca="false">C26/$B$9-1</f>
        <v>-0.122398069766491</v>
      </c>
    </row>
    <row r="27" customFormat="false" ht="15" hidden="false" customHeight="true" outlineLevel="0" collapsed="false">
      <c r="A27" s="22" t="n">
        <v>0.627</v>
      </c>
      <c r="B27" s="22" t="n">
        <v>0.78</v>
      </c>
      <c r="C27" s="44" t="n">
        <f aca="false">Assumptions!$C$25*A27*B27</f>
        <v>33.598422</v>
      </c>
      <c r="D27" s="59" t="n">
        <f aca="false">C27/$B$9-1</f>
        <v>0</v>
      </c>
    </row>
    <row r="28" customFormat="false" ht="15" hidden="false" customHeight="true" outlineLevel="0" collapsed="false">
      <c r="A28" s="22" t="n">
        <v>0.67</v>
      </c>
      <c r="B28" s="22" t="n">
        <v>0.82</v>
      </c>
      <c r="C28" s="58" t="n">
        <f aca="false">Assumptions!$C$25*A28*B28</f>
        <v>37.74378</v>
      </c>
      <c r="D28" s="59" t="n">
        <f aca="false">C28/$B$9-1</f>
        <v>0.123379544432176</v>
      </c>
    </row>
    <row r="29" customFormat="false" ht="15" hidden="false" customHeight="true" outlineLevel="0" collapsed="false">
      <c r="A29" s="4" t="s">
        <v>347</v>
      </c>
    </row>
    <row r="31" customFormat="false" ht="15" hidden="false" customHeight="true" outlineLevel="0" collapsed="false">
      <c r="A31" s="5" t="s">
        <v>348</v>
      </c>
    </row>
    <row r="32" customFormat="false" ht="23.25" hidden="false" customHeight="true" outlineLevel="0" collapsed="false">
      <c r="A32" s="52" t="s">
        <v>349</v>
      </c>
      <c r="B32" s="52" t="s">
        <v>350</v>
      </c>
      <c r="C32" s="52" t="s">
        <v>351</v>
      </c>
      <c r="D32" s="52" t="s">
        <v>352</v>
      </c>
      <c r="E32" s="52" t="s">
        <v>180</v>
      </c>
      <c r="F32" s="52" t="s">
        <v>43</v>
      </c>
    </row>
    <row r="33" customFormat="false" ht="15" hidden="false" customHeight="true" outlineLevel="0" collapsed="false">
      <c r="A33" s="7" t="s">
        <v>353</v>
      </c>
      <c r="B33" s="60" t="n">
        <v>8.75281</v>
      </c>
      <c r="C33" s="22" t="n">
        <v>0.56</v>
      </c>
      <c r="D33" s="61" t="n">
        <f aca="false">B33*C33</f>
        <v>4.9015736</v>
      </c>
      <c r="E33" s="7" t="s">
        <v>354</v>
      </c>
      <c r="F33" s="7" t="s">
        <v>30</v>
      </c>
    </row>
    <row r="34" customFormat="false" ht="15" hidden="false" customHeight="true" outlineLevel="0" collapsed="false">
      <c r="A34" s="7" t="s">
        <v>355</v>
      </c>
      <c r="B34" s="60" t="n">
        <v>4.28234</v>
      </c>
      <c r="C34" s="22" t="n">
        <v>0.59</v>
      </c>
      <c r="D34" s="61" t="n">
        <f aca="false">B34*C34</f>
        <v>2.5265806</v>
      </c>
      <c r="E34" s="7" t="s">
        <v>354</v>
      </c>
      <c r="F34" s="7" t="s">
        <v>30</v>
      </c>
    </row>
    <row r="35" customFormat="false" ht="15" hidden="false" customHeight="true" outlineLevel="0" collapsed="false">
      <c r="A35" s="7" t="s">
        <v>356</v>
      </c>
      <c r="B35" s="60" t="n">
        <v>4.07437</v>
      </c>
      <c r="C35" s="22" t="n">
        <v>0.51</v>
      </c>
      <c r="D35" s="61" t="n">
        <f aca="false">B35*C35</f>
        <v>2.0779287</v>
      </c>
      <c r="E35" s="7" t="s">
        <v>354</v>
      </c>
      <c r="F35" s="7" t="s">
        <v>30</v>
      </c>
    </row>
    <row r="36" customFormat="false" ht="15" hidden="false" customHeight="true" outlineLevel="0" collapsed="false">
      <c r="A36" s="7" t="s">
        <v>357</v>
      </c>
      <c r="B36" s="60" t="n">
        <v>2.82428</v>
      </c>
      <c r="C36" s="22" t="n">
        <v>0.62</v>
      </c>
      <c r="D36" s="61" t="n">
        <f aca="false">B36*C36</f>
        <v>1.7510536</v>
      </c>
      <c r="E36" s="7" t="s">
        <v>354</v>
      </c>
      <c r="F36" s="7" t="s">
        <v>30</v>
      </c>
    </row>
    <row r="37" customFormat="false" ht="15" hidden="false" customHeight="true" outlineLevel="0" collapsed="false">
      <c r="A37" s="7" t="s">
        <v>358</v>
      </c>
      <c r="B37" s="60" t="n">
        <v>2.11799</v>
      </c>
      <c r="C37" s="22" t="n">
        <v>0.453</v>
      </c>
      <c r="D37" s="61" t="n">
        <f aca="false">B37*C37</f>
        <v>0.95944947</v>
      </c>
      <c r="E37" s="7" t="s">
        <v>354</v>
      </c>
      <c r="F37" s="7" t="s">
        <v>30</v>
      </c>
    </row>
    <row r="38" customFormat="false" ht="15" hidden="false" customHeight="true" outlineLevel="0" collapsed="false">
      <c r="A38" s="7" t="s">
        <v>359</v>
      </c>
      <c r="B38" s="60" t="n">
        <v>1.99725</v>
      </c>
      <c r="C38" s="22" t="n">
        <v>0.598</v>
      </c>
      <c r="D38" s="61" t="n">
        <f aca="false">B38*C38</f>
        <v>1.1943555</v>
      </c>
      <c r="E38" s="7" t="s">
        <v>354</v>
      </c>
      <c r="F38" s="7" t="s">
        <v>30</v>
      </c>
    </row>
    <row r="39" customFormat="false" ht="15" hidden="false" customHeight="true" outlineLevel="0" collapsed="false">
      <c r="A39" s="3" t="s">
        <v>360</v>
      </c>
      <c r="B39" s="54" t="n">
        <f aca="false">SUM(B33:B38)</f>
        <v>24.04904</v>
      </c>
      <c r="D39" s="54" t="n">
        <f aca="false">SUM(D33:D38)</f>
        <v>13.41094147</v>
      </c>
    </row>
    <row r="40" customFormat="false" ht="15" hidden="false" customHeight="true" outlineLevel="0" collapsed="false">
      <c r="A40" s="7" t="s">
        <v>361</v>
      </c>
      <c r="D40" s="55" t="n">
        <f aca="false">Assumptions!$C$35</f>
        <v>77.5</v>
      </c>
    </row>
    <row r="41" customFormat="false" ht="15" hidden="false" customHeight="true" outlineLevel="0" collapsed="false">
      <c r="A41" s="3" t="s">
        <v>362</v>
      </c>
      <c r="D41" s="57" t="n">
        <f aca="false">D39/D40</f>
        <v>0.173044406064516</v>
      </c>
    </row>
    <row r="43" customFormat="false" ht="15" hidden="false" customHeight="true" outlineLevel="0" collapsed="false">
      <c r="A43" s="52" t="s">
        <v>363</v>
      </c>
      <c r="B43" s="52" t="s">
        <v>40</v>
      </c>
      <c r="C43" s="52" t="s">
        <v>234</v>
      </c>
      <c r="D43" s="52"/>
      <c r="E43" s="52" t="s">
        <v>180</v>
      </c>
      <c r="F43" s="52" t="s">
        <v>43</v>
      </c>
    </row>
    <row r="44" customFormat="false" ht="15" hidden="false" customHeight="true" outlineLevel="0" collapsed="false">
      <c r="A44" s="7" t="s">
        <v>364</v>
      </c>
      <c r="B44" s="56" t="n">
        <f aca="false">B9</f>
        <v>33.598422</v>
      </c>
      <c r="F44" s="7" t="s">
        <v>30</v>
      </c>
    </row>
    <row r="45" customFormat="false" ht="15" hidden="false" customHeight="true" outlineLevel="0" collapsed="false">
      <c r="A45" s="7" t="s">
        <v>365</v>
      </c>
      <c r="B45" s="36" t="n">
        <f aca="false">D41</f>
        <v>0.173044406064516</v>
      </c>
      <c r="E45" s="7" t="s">
        <v>366</v>
      </c>
      <c r="F45" s="7" t="s">
        <v>30</v>
      </c>
    </row>
    <row r="46" customFormat="false" ht="15" hidden="false" customHeight="true" outlineLevel="0" collapsed="false">
      <c r="A46" s="7" t="s">
        <v>367</v>
      </c>
      <c r="B46" s="62" t="n">
        <f aca="false">Assumptions!$C$29</f>
        <v>0.9</v>
      </c>
      <c r="F46" s="10" t="s">
        <v>112</v>
      </c>
    </row>
    <row r="47" customFormat="false" ht="15" hidden="false" customHeight="true" outlineLevel="0" collapsed="false">
      <c r="A47" s="3" t="s">
        <v>368</v>
      </c>
      <c r="B47" s="44" t="n">
        <f aca="false">B44*B45*B46</f>
        <v>5.23261708172548</v>
      </c>
      <c r="F47" s="7" t="s">
        <v>30</v>
      </c>
    </row>
    <row r="49" customFormat="false" ht="15" hidden="false" customHeight="true" outlineLevel="0" collapsed="false">
      <c r="A49" s="5" t="s">
        <v>369</v>
      </c>
    </row>
    <row r="50" customFormat="false" ht="15" hidden="false" customHeight="true" outlineLevel="0" collapsed="false">
      <c r="A50" s="52" t="s">
        <v>370</v>
      </c>
      <c r="B50" s="52" t="s">
        <v>371</v>
      </c>
      <c r="C50" s="52" t="s">
        <v>372</v>
      </c>
      <c r="D50" s="52"/>
      <c r="E50" s="52" t="s">
        <v>180</v>
      </c>
      <c r="F50" s="52" t="s">
        <v>43</v>
      </c>
    </row>
    <row r="51" customFormat="false" ht="15" hidden="false" customHeight="true" outlineLevel="0" collapsed="false">
      <c r="A51" s="7" t="s">
        <v>125</v>
      </c>
      <c r="B51" s="63" t="n">
        <f aca="false">Assumptions!$C$33</f>
        <v>42</v>
      </c>
      <c r="C51" s="63" t="n">
        <f aca="false">Assumptions!$C$33</f>
        <v>42</v>
      </c>
    </row>
    <row r="52" customFormat="false" ht="15" hidden="false" customHeight="true" outlineLevel="0" collapsed="false">
      <c r="A52" s="7" t="s">
        <v>373</v>
      </c>
      <c r="B52" s="64" t="n">
        <f aca="false">Assumptions!$C$30</f>
        <v>8</v>
      </c>
      <c r="C52" s="64" t="n">
        <f aca="false">Assumptions!$C$31</f>
        <v>15</v>
      </c>
      <c r="F52" s="10" t="s">
        <v>112</v>
      </c>
    </row>
    <row r="53" customFormat="false" ht="15" hidden="false" customHeight="true" outlineLevel="0" collapsed="false">
      <c r="A53" s="7" t="s">
        <v>374</v>
      </c>
      <c r="B53" s="1" t="n">
        <f aca="false">B51*(1+B52)</f>
        <v>378</v>
      </c>
      <c r="C53" s="1" t="n">
        <f aca="false">C51*(1+C52)</f>
        <v>672</v>
      </c>
    </row>
    <row r="54" customFormat="false" ht="15" hidden="false" customHeight="true" outlineLevel="0" collapsed="false">
      <c r="A54" s="7" t="s">
        <v>375</v>
      </c>
      <c r="B54" s="63" t="n">
        <f aca="false">Assumptions!$C$32</f>
        <v>1.5</v>
      </c>
      <c r="C54" s="63" t="n">
        <f aca="false">Assumptions!$C$32</f>
        <v>1.5</v>
      </c>
      <c r="F54" s="7" t="s">
        <v>30</v>
      </c>
    </row>
    <row r="55" customFormat="false" ht="15" hidden="false" customHeight="true" outlineLevel="0" collapsed="false">
      <c r="A55" s="3" t="s">
        <v>376</v>
      </c>
      <c r="B55" s="65" t="n">
        <f aca="false">B53*B54/1000</f>
        <v>0.567</v>
      </c>
      <c r="C55" s="65" t="n">
        <f aca="false">C53*C54/1000</f>
        <v>1.008</v>
      </c>
    </row>
    <row r="56" customFormat="false" ht="15" hidden="false" customHeight="true" outlineLevel="0" collapsed="false">
      <c r="A56" s="7" t="s">
        <v>377</v>
      </c>
      <c r="B56" s="66" t="n">
        <f aca="false">Assumptions!$C$33*Benchmark!$B$7/1000+(B53-Assumptions!$C$33)*B54/1000</f>
        <v>0.624</v>
      </c>
      <c r="C56" s="66" t="n">
        <f aca="false">Assumptions!$C$33*Benchmark!$B$7/1000+(C53-Assumptions!$C$33)*C54/1000</f>
        <v>1.065</v>
      </c>
      <c r="E56" s="7" t="s">
        <v>378</v>
      </c>
    </row>
    <row r="57" customFormat="false" ht="15" hidden="false" customHeight="true" outlineLevel="0" collapsed="false">
      <c r="A57" s="7" t="s">
        <v>379</v>
      </c>
      <c r="B57" s="66" t="n">
        <f aca="false">B53*$B$67/1000</f>
        <v>0.457548100641342</v>
      </c>
      <c r="C57" s="66" t="n">
        <f aca="false">C53*$B$67/1000</f>
        <v>0.813418845584608</v>
      </c>
    </row>
    <row r="58" customFormat="false" ht="15" hidden="false" customHeight="true" outlineLevel="0" collapsed="false">
      <c r="A58" s="3" t="s">
        <v>380</v>
      </c>
      <c r="B58" s="59" t="n">
        <f aca="false">Assumptions!$C$34/1000/C55</f>
        <v>0.119047619047619</v>
      </c>
      <c r="C58" s="59" t="n">
        <f aca="false">Assumptions!$C$34/1000/B55</f>
        <v>0.211640211640212</v>
      </c>
    </row>
    <row r="59" customFormat="false" ht="15" hidden="false" customHeight="true" outlineLevel="0" collapsed="false">
      <c r="A59" s="3" t="s">
        <v>381</v>
      </c>
      <c r="B59" s="59" t="n">
        <f aca="false">B55/B47</f>
        <v>0.108358779391713</v>
      </c>
      <c r="C59" s="59" t="n">
        <f aca="false">C55/B47</f>
        <v>0.192637830029712</v>
      </c>
    </row>
    <row r="61" customFormat="false" ht="15" hidden="false" customHeight="true" outlineLevel="0" collapsed="false">
      <c r="A61" s="5" t="s">
        <v>382</v>
      </c>
    </row>
    <row r="62" customFormat="false" ht="15" hidden="false" customHeight="true" outlineLevel="0" collapsed="false">
      <c r="A62" s="7" t="s">
        <v>383</v>
      </c>
      <c r="B62" s="43" t="n">
        <f aca="false">Assumptions!$C$41</f>
        <v>56756</v>
      </c>
    </row>
    <row r="63" customFormat="false" ht="15" hidden="false" customHeight="true" outlineLevel="0" collapsed="false">
      <c r="A63" s="7" t="s">
        <v>384</v>
      </c>
      <c r="B63" s="55" t="n">
        <f aca="false">Assumptions!$C$32</f>
        <v>1.5</v>
      </c>
    </row>
    <row r="64" customFormat="false" ht="15" hidden="false" customHeight="true" outlineLevel="0" collapsed="false">
      <c r="A64" s="7" t="s">
        <v>385</v>
      </c>
      <c r="B64" s="56" t="n">
        <f aca="false">B62*B63/1000</f>
        <v>85.134</v>
      </c>
    </row>
    <row r="65" customFormat="false" ht="15" hidden="false" customHeight="true" outlineLevel="0" collapsed="false">
      <c r="A65" s="7" t="s">
        <v>386</v>
      </c>
      <c r="B65" s="42" t="n">
        <f aca="false">Assumptions!$C$25</f>
        <v>68.7</v>
      </c>
    </row>
    <row r="66" customFormat="false" ht="15" hidden="false" customHeight="true" outlineLevel="0" collapsed="false">
      <c r="A66" s="3" t="s">
        <v>387</v>
      </c>
      <c r="B66" s="44" t="n">
        <f aca="false">B64-B65</f>
        <v>16.434</v>
      </c>
    </row>
    <row r="67" customFormat="false" ht="15" hidden="false" customHeight="true" outlineLevel="0" collapsed="false">
      <c r="A67" s="3" t="s">
        <v>388</v>
      </c>
      <c r="B67" s="55" t="n">
        <f aca="false">Assumptions!$C$25*1000/Assumptions!$C$41</f>
        <v>1.21044471069138</v>
      </c>
    </row>
    <row r="68" customFormat="false" ht="15" hidden="false" customHeight="true" outlineLevel="0" collapsed="false">
      <c r="A68" s="4" t="s">
        <v>389</v>
      </c>
    </row>
    <row r="70" customFormat="false" ht="15" hidden="false" customHeight="true" outlineLevel="0" collapsed="false">
      <c r="A70" s="5" t="s">
        <v>390</v>
      </c>
    </row>
    <row r="71" customFormat="false" ht="15" hidden="false" customHeight="true" outlineLevel="0" collapsed="false">
      <c r="A71" s="7" t="s">
        <v>391</v>
      </c>
      <c r="B71" s="55" t="n">
        <f aca="false">Assumptions!$C$36</f>
        <v>129.227507</v>
      </c>
    </row>
    <row r="72" customFormat="false" ht="15" hidden="false" customHeight="true" outlineLevel="0" collapsed="false">
      <c r="A72" s="7" t="s">
        <v>392</v>
      </c>
      <c r="B72" s="31" t="n">
        <f aca="false">0.586</f>
        <v>0.586</v>
      </c>
    </row>
    <row r="73" customFormat="false" ht="15" hidden="false" customHeight="true" outlineLevel="0" collapsed="false">
      <c r="A73" s="7" t="s">
        <v>393</v>
      </c>
      <c r="B73" s="67" t="n">
        <f aca="false">B71*B72</f>
        <v>75.727319102</v>
      </c>
    </row>
    <row r="74" customFormat="false" ht="15" hidden="false" customHeight="true" outlineLevel="0" collapsed="false">
      <c r="A74" s="7" t="s">
        <v>394</v>
      </c>
      <c r="B74" s="55" t="n">
        <f aca="false">Assumptions!$C$35</f>
        <v>77.5</v>
      </c>
    </row>
    <row r="75" customFormat="false" ht="15" hidden="false" customHeight="true" outlineLevel="0" collapsed="false">
      <c r="A75" s="3" t="s">
        <v>395</v>
      </c>
      <c r="B75" s="57" t="n">
        <f aca="false">B74/B71</f>
        <v>0.599717519893036</v>
      </c>
    </row>
    <row r="76" customFormat="false" ht="15" hidden="false" customHeight="true" outlineLevel="0" collapsed="false">
      <c r="A76" s="7" t="s">
        <v>396</v>
      </c>
      <c r="B76" s="31" t="n">
        <f aca="false">D39/B73</f>
        <v>0.177095157058661</v>
      </c>
    </row>
    <row r="77" customFormat="false" ht="15" hidden="false" customHeight="true" outlineLevel="0" collapsed="false">
      <c r="A77" s="7" t="s">
        <v>397</v>
      </c>
      <c r="B77" s="56" t="n">
        <f aca="false">B9*B76*Assumptions!$C$29</f>
        <v>5.35510603891184</v>
      </c>
    </row>
    <row r="78" customFormat="false" ht="15" hidden="false" customHeight="true" outlineLevel="0" collapsed="false">
      <c r="A78" s="3" t="s">
        <v>398</v>
      </c>
      <c r="B78" s="57" t="n">
        <f aca="false">B77/B47-1</f>
        <v>0.0234087370188334</v>
      </c>
    </row>
    <row r="79" customFormat="false" ht="15" hidden="false" customHeight="true" outlineLevel="0" collapsed="false">
      <c r="A79" s="4" t="s">
        <v>399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2026-07-27T16:58:09Z</dcterms:created>
  <dc:creator>openpyxl</dc:creator>
  <dc:description/>
  <dc:language>en-US</dc:language>
  <cp:lastModifiedBy/>
  <dcterms:modified xsi:type="dcterms:W3CDTF">2026-07-27T19:14:41Z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